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avanew\Desktop\todas las carpetas\SINERGIA Y TABLERO DE CONTROL PRESIDENTE\2020\"/>
    </mc:Choice>
  </mc:AlternateContent>
  <xr:revisionPtr revIDLastSave="0" documentId="10_ncr:100000_{E168F8CC-5284-4413-8CC0-BC3FC81E6601}" xr6:coauthVersionLast="31" xr6:coauthVersionMax="31" xr10:uidLastSave="{00000000-0000-0000-0000-000000000000}"/>
  <bookViews>
    <workbookView xWindow="0" yWindow="0" windowWidth="20490" windowHeight="7245" firstSheet="2" activeTab="7" xr2:uid="{00000000-000D-0000-FFFF-FFFF00000000}"/>
  </bookViews>
  <sheets>
    <sheet name="METAS 2019-2022" sheetId="1" r:id="rId1"/>
    <sheet name="DICIEMBRE 2019" sheetId="4" r:id="rId2"/>
    <sheet name="ENERO 2020" sheetId="2" r:id="rId3"/>
    <sheet name="FEBRERO 2020" sheetId="5" r:id="rId4"/>
    <sheet name="MARZO 2020" sheetId="6" r:id="rId5"/>
    <sheet name="ABRIL 2020" sheetId="7" r:id="rId6"/>
    <sheet name="MAYO 2020" sheetId="8" r:id="rId7"/>
    <sheet name="JUNIO 2020" sheetId="9" r:id="rId8"/>
  </sheets>
  <definedNames>
    <definedName name="_xlnm.Print_Titles" localSheetId="0">'METAS 2019-2022'!$1:$2</definedName>
  </definedNames>
  <calcPr calcId="179017"/>
</workbook>
</file>

<file path=xl/calcChain.xml><?xml version="1.0" encoding="utf-8"?>
<calcChain xmlns="http://schemas.openxmlformats.org/spreadsheetml/2006/main">
  <c r="D6" i="9" l="1"/>
  <c r="H7" i="2"/>
  <c r="H7" i="5"/>
  <c r="H7" i="6"/>
  <c r="H7" i="7"/>
  <c r="H7" i="8"/>
  <c r="G7" i="2"/>
  <c r="G7" i="5"/>
  <c r="G7" i="6"/>
  <c r="G7" i="7"/>
  <c r="G7" i="8"/>
  <c r="H7" i="9"/>
  <c r="E7" i="2"/>
  <c r="E7" i="5"/>
  <c r="E7" i="6"/>
  <c r="E7" i="7"/>
  <c r="E7" i="9"/>
  <c r="D17" i="9"/>
  <c r="D16" i="9"/>
  <c r="D13" i="9" l="1"/>
  <c r="G13" i="9"/>
  <c r="H13" i="9" s="1"/>
  <c r="D18" i="9"/>
  <c r="D15" i="9"/>
  <c r="G15" i="9" s="1"/>
  <c r="H15" i="9" s="1"/>
  <c r="D12" i="9"/>
  <c r="G12" i="9" s="1"/>
  <c r="H12" i="9" s="1"/>
  <c r="G8" i="9"/>
  <c r="H8" i="9" s="1"/>
  <c r="D5" i="9"/>
  <c r="G22" i="9"/>
  <c r="F22" i="9"/>
  <c r="C22" i="9"/>
  <c r="E22" i="9" s="1"/>
  <c r="B22" i="9"/>
  <c r="H21" i="9"/>
  <c r="F21" i="9"/>
  <c r="C21" i="9"/>
  <c r="B21" i="9"/>
  <c r="G20" i="9"/>
  <c r="F20" i="9"/>
  <c r="E20" i="9"/>
  <c r="C20" i="9"/>
  <c r="B20" i="9"/>
  <c r="F19" i="9"/>
  <c r="H19" i="9" s="1"/>
  <c r="C19" i="9"/>
  <c r="B19" i="9"/>
  <c r="F18" i="9"/>
  <c r="C18" i="9"/>
  <c r="B18" i="9"/>
  <c r="G18" i="9" s="1"/>
  <c r="H18" i="9" s="1"/>
  <c r="F17" i="9"/>
  <c r="E17" i="9"/>
  <c r="G17" i="9"/>
  <c r="H17" i="9" s="1"/>
  <c r="C17" i="9"/>
  <c r="B17" i="9"/>
  <c r="F16" i="9"/>
  <c r="G16" i="9"/>
  <c r="H16" i="9" s="1"/>
  <c r="C16" i="9"/>
  <c r="B16" i="9"/>
  <c r="F15" i="9"/>
  <c r="E15" i="9"/>
  <c r="C15" i="9"/>
  <c r="B15" i="9"/>
  <c r="F14" i="9"/>
  <c r="E14" i="9"/>
  <c r="C14" i="9"/>
  <c r="B14" i="9"/>
  <c r="G14" i="9" s="1"/>
  <c r="H14" i="9" s="1"/>
  <c r="F13" i="9"/>
  <c r="C13" i="9"/>
  <c r="B13" i="9"/>
  <c r="F12" i="9"/>
  <c r="E12" i="9"/>
  <c r="C12" i="9"/>
  <c r="B12" i="9"/>
  <c r="F11" i="9"/>
  <c r="E11" i="9"/>
  <c r="C11" i="9"/>
  <c r="B11" i="9"/>
  <c r="G11" i="9" s="1"/>
  <c r="H11" i="9" s="1"/>
  <c r="F10" i="9"/>
  <c r="D10" i="9"/>
  <c r="G10" i="9" s="1"/>
  <c r="H10" i="9" s="1"/>
  <c r="C10" i="9"/>
  <c r="B10" i="9"/>
  <c r="G9" i="9"/>
  <c r="H9" i="9" s="1"/>
  <c r="F9" i="9"/>
  <c r="D9" i="9"/>
  <c r="E9" i="9" s="1"/>
  <c r="C9" i="9"/>
  <c r="B9" i="9"/>
  <c r="F8" i="9"/>
  <c r="E8" i="9"/>
  <c r="C8" i="9"/>
  <c r="B8" i="9"/>
  <c r="G7" i="9"/>
  <c r="F7" i="9"/>
  <c r="C7" i="9"/>
  <c r="B7" i="9"/>
  <c r="G6" i="9"/>
  <c r="H6" i="9" s="1"/>
  <c r="F6" i="9"/>
  <c r="C6" i="9"/>
  <c r="B6" i="9"/>
  <c r="F5" i="9"/>
  <c r="E5" i="9"/>
  <c r="C5" i="9"/>
  <c r="B5" i="9"/>
  <c r="D17" i="8"/>
  <c r="D16" i="8"/>
  <c r="D15" i="8"/>
  <c r="D12" i="8"/>
  <c r="D10" i="8"/>
  <c r="E7" i="8"/>
  <c r="D5" i="8"/>
  <c r="E18" i="9" l="1"/>
  <c r="E6" i="9"/>
  <c r="G5" i="9"/>
  <c r="H5" i="9" s="1"/>
  <c r="E10" i="9"/>
  <c r="E13" i="9"/>
  <c r="E16" i="9"/>
  <c r="D13" i="8" l="1"/>
  <c r="G13" i="8" s="1"/>
  <c r="H13" i="8" s="1"/>
  <c r="G18" i="8"/>
  <c r="G18" i="7"/>
  <c r="F18" i="8"/>
  <c r="D18" i="8"/>
  <c r="E18" i="8" s="1"/>
  <c r="G22" i="8"/>
  <c r="F22" i="8"/>
  <c r="C22" i="8"/>
  <c r="E22" i="8" s="1"/>
  <c r="B22" i="8"/>
  <c r="F21" i="8"/>
  <c r="H21" i="8" s="1"/>
  <c r="C21" i="8"/>
  <c r="B21" i="8"/>
  <c r="G20" i="8"/>
  <c r="F20" i="8"/>
  <c r="C20" i="8"/>
  <c r="E20" i="8" s="1"/>
  <c r="B20" i="8"/>
  <c r="F19" i="8"/>
  <c r="H19" i="8" s="1"/>
  <c r="C19" i="8"/>
  <c r="B19" i="8"/>
  <c r="C18" i="8"/>
  <c r="B18" i="8"/>
  <c r="F17" i="8"/>
  <c r="E17" i="8"/>
  <c r="C17" i="8"/>
  <c r="B17" i="8"/>
  <c r="G16" i="8"/>
  <c r="H16" i="8" s="1"/>
  <c r="F16" i="8"/>
  <c r="E16" i="8"/>
  <c r="C16" i="8"/>
  <c r="B16" i="8"/>
  <c r="F15" i="8"/>
  <c r="E15" i="8"/>
  <c r="C15" i="8"/>
  <c r="B15" i="8"/>
  <c r="G15" i="8" s="1"/>
  <c r="H15" i="8" s="1"/>
  <c r="F14" i="8"/>
  <c r="E14" i="8"/>
  <c r="C14" i="8"/>
  <c r="B14" i="8"/>
  <c r="G14" i="8" s="1"/>
  <c r="H14" i="8" s="1"/>
  <c r="F13" i="8"/>
  <c r="E13" i="8"/>
  <c r="C13" i="8"/>
  <c r="B13" i="8"/>
  <c r="G12" i="8"/>
  <c r="H12" i="8" s="1"/>
  <c r="F12" i="8"/>
  <c r="E12" i="8"/>
  <c r="C12" i="8"/>
  <c r="B12" i="8"/>
  <c r="F11" i="8"/>
  <c r="E11" i="8"/>
  <c r="C11" i="8"/>
  <c r="B11" i="8"/>
  <c r="G11" i="8" s="1"/>
  <c r="H11" i="8" s="1"/>
  <c r="G10" i="8"/>
  <c r="H10" i="8" s="1"/>
  <c r="F10" i="8"/>
  <c r="E10" i="8"/>
  <c r="C10" i="8"/>
  <c r="B10" i="8"/>
  <c r="G9" i="8"/>
  <c r="H9" i="8" s="1"/>
  <c r="F9" i="8"/>
  <c r="D9" i="8"/>
  <c r="E9" i="8" s="1"/>
  <c r="C9" i="8"/>
  <c r="B9" i="8"/>
  <c r="G8" i="8"/>
  <c r="H8" i="8" s="1"/>
  <c r="F8" i="8"/>
  <c r="E8" i="8"/>
  <c r="C8" i="8"/>
  <c r="B8" i="8"/>
  <c r="F7" i="8"/>
  <c r="C7" i="8"/>
  <c r="B7" i="8"/>
  <c r="F6" i="8"/>
  <c r="D6" i="8"/>
  <c r="G6" i="8" s="1"/>
  <c r="H6" i="8" s="1"/>
  <c r="C6" i="8"/>
  <c r="B6" i="8"/>
  <c r="G5" i="8"/>
  <c r="H5" i="8" s="1"/>
  <c r="F5" i="8"/>
  <c r="E5" i="8"/>
  <c r="C5" i="8"/>
  <c r="B5" i="8"/>
  <c r="H18" i="8" l="1"/>
  <c r="E6" i="8"/>
  <c r="G17" i="8"/>
  <c r="H17" i="8" s="1"/>
  <c r="D15" i="7"/>
  <c r="E15" i="7"/>
  <c r="D18" i="7" l="1"/>
  <c r="D17" i="7"/>
  <c r="D16" i="7"/>
  <c r="D12" i="7"/>
  <c r="D10" i="7"/>
  <c r="D6" i="7"/>
  <c r="D5" i="7"/>
  <c r="D13" i="7" l="1"/>
  <c r="G13" i="7" s="1"/>
  <c r="H13" i="7" s="1"/>
  <c r="G22" i="7"/>
  <c r="F22" i="7"/>
  <c r="C22" i="7"/>
  <c r="E22" i="7" s="1"/>
  <c r="B22" i="7"/>
  <c r="H21" i="7"/>
  <c r="F21" i="7"/>
  <c r="C21" i="7"/>
  <c r="B21" i="7"/>
  <c r="G20" i="7"/>
  <c r="F20" i="7"/>
  <c r="E20" i="7"/>
  <c r="C20" i="7"/>
  <c r="B20" i="7"/>
  <c r="F19" i="7"/>
  <c r="H19" i="7" s="1"/>
  <c r="C19" i="7"/>
  <c r="B19" i="7"/>
  <c r="F18" i="7"/>
  <c r="C18" i="7"/>
  <c r="E18" i="7" s="1"/>
  <c r="B18" i="7"/>
  <c r="H18" i="7" s="1"/>
  <c r="F17" i="7"/>
  <c r="E17" i="7"/>
  <c r="G17" i="7"/>
  <c r="H17" i="7" s="1"/>
  <c r="C17" i="7"/>
  <c r="B17" i="7"/>
  <c r="F16" i="7"/>
  <c r="G16" i="7"/>
  <c r="H16" i="7" s="1"/>
  <c r="C16" i="7"/>
  <c r="B16" i="7"/>
  <c r="F15" i="7"/>
  <c r="C15" i="7"/>
  <c r="B15" i="7"/>
  <c r="G15" i="7" s="1"/>
  <c r="H15" i="7" s="1"/>
  <c r="F14" i="7"/>
  <c r="E14" i="7"/>
  <c r="C14" i="7"/>
  <c r="B14" i="7"/>
  <c r="G14" i="7" s="1"/>
  <c r="H14" i="7" s="1"/>
  <c r="F13" i="7"/>
  <c r="C13" i="7"/>
  <c r="B13" i="7"/>
  <c r="G12" i="7"/>
  <c r="H12" i="7" s="1"/>
  <c r="F12" i="7"/>
  <c r="C12" i="7"/>
  <c r="E12" i="7" s="1"/>
  <c r="B12" i="7"/>
  <c r="F11" i="7"/>
  <c r="E11" i="7"/>
  <c r="C11" i="7"/>
  <c r="B11" i="7"/>
  <c r="G11" i="7" s="1"/>
  <c r="H11" i="7" s="1"/>
  <c r="G10" i="7"/>
  <c r="H10" i="7" s="1"/>
  <c r="F10" i="7"/>
  <c r="E10" i="7"/>
  <c r="C10" i="7"/>
  <c r="B10" i="7"/>
  <c r="G9" i="7"/>
  <c r="H9" i="7" s="1"/>
  <c r="F9" i="7"/>
  <c r="D9" i="7"/>
  <c r="C9" i="7"/>
  <c r="E9" i="7" s="1"/>
  <c r="B9" i="7"/>
  <c r="G8" i="7"/>
  <c r="F8" i="7"/>
  <c r="E8" i="7"/>
  <c r="C8" i="7"/>
  <c r="B8" i="7"/>
  <c r="F7" i="7"/>
  <c r="C7" i="7"/>
  <c r="B7" i="7"/>
  <c r="F6" i="7"/>
  <c r="G6" i="7"/>
  <c r="H6" i="7" s="1"/>
  <c r="C6" i="7"/>
  <c r="B6" i="7"/>
  <c r="G5" i="7"/>
  <c r="H5" i="7" s="1"/>
  <c r="F5" i="7"/>
  <c r="E5" i="7"/>
  <c r="C5" i="7"/>
  <c r="B5" i="7"/>
  <c r="H8" i="7" l="1"/>
  <c r="E13" i="7"/>
  <c r="E16" i="7"/>
  <c r="E6" i="7"/>
  <c r="D17" i="6"/>
  <c r="D16" i="6"/>
  <c r="G15" i="6"/>
  <c r="G15" i="5"/>
  <c r="G15" i="2"/>
  <c r="D18" i="6"/>
  <c r="G12" i="4"/>
  <c r="G12" i="6"/>
  <c r="D12" i="6"/>
  <c r="G6" i="6"/>
  <c r="D10" i="6"/>
  <c r="D6" i="6"/>
  <c r="D5" i="6"/>
  <c r="D13" i="6"/>
  <c r="D13" i="5"/>
  <c r="D5" i="5"/>
  <c r="G22" i="6" l="1"/>
  <c r="F22" i="6"/>
  <c r="C22" i="6"/>
  <c r="E22" i="6" s="1"/>
  <c r="B22" i="6"/>
  <c r="H21" i="6"/>
  <c r="F21" i="6"/>
  <c r="C21" i="6"/>
  <c r="B21" i="6"/>
  <c r="G20" i="6"/>
  <c r="F20" i="6"/>
  <c r="C20" i="6"/>
  <c r="E20" i="6" s="1"/>
  <c r="B20" i="6"/>
  <c r="F19" i="6"/>
  <c r="H19" i="6" s="1"/>
  <c r="C19" i="6"/>
  <c r="B19" i="6"/>
  <c r="F18" i="6"/>
  <c r="C18" i="6"/>
  <c r="E18" i="6" s="1"/>
  <c r="B18" i="6"/>
  <c r="G18" i="6" s="1"/>
  <c r="H18" i="6" s="1"/>
  <c r="G17" i="6"/>
  <c r="F17" i="6"/>
  <c r="E17" i="6"/>
  <c r="C17" i="6"/>
  <c r="B17" i="6"/>
  <c r="G16" i="6"/>
  <c r="H16" i="6" s="1"/>
  <c r="F16" i="6"/>
  <c r="C16" i="6"/>
  <c r="E16" i="6" s="1"/>
  <c r="B16" i="6"/>
  <c r="F15" i="6"/>
  <c r="E15" i="6"/>
  <c r="C15" i="6"/>
  <c r="B15" i="6"/>
  <c r="H15" i="6" s="1"/>
  <c r="F14" i="6"/>
  <c r="C14" i="6"/>
  <c r="E14" i="6" s="1"/>
  <c r="B14" i="6"/>
  <c r="G14" i="6" s="1"/>
  <c r="H14" i="6" s="1"/>
  <c r="F13" i="6"/>
  <c r="E13" i="6"/>
  <c r="C13" i="6"/>
  <c r="B13" i="6"/>
  <c r="G13" i="6" s="1"/>
  <c r="H13" i="6" s="1"/>
  <c r="F12" i="6"/>
  <c r="H12" i="6"/>
  <c r="C12" i="6"/>
  <c r="B12" i="6"/>
  <c r="F11" i="6"/>
  <c r="C11" i="6"/>
  <c r="E11" i="6" s="1"/>
  <c r="B11" i="6"/>
  <c r="G11" i="6" s="1"/>
  <c r="H11" i="6" s="1"/>
  <c r="F10" i="6"/>
  <c r="E10" i="6"/>
  <c r="G10" i="6"/>
  <c r="H10" i="6" s="1"/>
  <c r="C10" i="6"/>
  <c r="B10" i="6"/>
  <c r="H9" i="6"/>
  <c r="G9" i="6"/>
  <c r="F9" i="6"/>
  <c r="D9" i="6"/>
  <c r="E9" i="6" s="1"/>
  <c r="C9" i="6"/>
  <c r="B9" i="6"/>
  <c r="G8" i="6"/>
  <c r="H8" i="6" s="1"/>
  <c r="F8" i="6"/>
  <c r="C8" i="6"/>
  <c r="E8" i="6" s="1"/>
  <c r="B8" i="6"/>
  <c r="F7" i="6"/>
  <c r="C7" i="6"/>
  <c r="B7" i="6"/>
  <c r="H6" i="6"/>
  <c r="F6" i="6"/>
  <c r="C6" i="6"/>
  <c r="E6" i="6" s="1"/>
  <c r="B6" i="6"/>
  <c r="F5" i="6"/>
  <c r="E5" i="6"/>
  <c r="C5" i="6"/>
  <c r="B5" i="6"/>
  <c r="G5" i="6" s="1"/>
  <c r="H5" i="6" s="1"/>
  <c r="H17" i="6" l="1"/>
  <c r="E12" i="6"/>
  <c r="G18" i="5"/>
  <c r="D18" i="5"/>
  <c r="G17" i="5"/>
  <c r="G16" i="5"/>
  <c r="H16" i="5" s="1"/>
  <c r="D12" i="5"/>
  <c r="G12" i="5"/>
  <c r="G10" i="2"/>
  <c r="G10" i="5"/>
  <c r="D10" i="5"/>
  <c r="G8" i="5"/>
  <c r="G8" i="2"/>
  <c r="G6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5" i="4"/>
  <c r="F6" i="4"/>
  <c r="F7" i="4"/>
  <c r="F8" i="4"/>
  <c r="F9" i="4"/>
  <c r="F10" i="4"/>
  <c r="F11" i="4"/>
  <c r="F12" i="4"/>
  <c r="H12" i="4" s="1"/>
  <c r="F13" i="4"/>
  <c r="F14" i="4"/>
  <c r="F15" i="4"/>
  <c r="F16" i="4"/>
  <c r="H16" i="4" s="1"/>
  <c r="F17" i="4"/>
  <c r="F18" i="4"/>
  <c r="F19" i="4"/>
  <c r="F20" i="4"/>
  <c r="F21" i="4"/>
  <c r="F22" i="4"/>
  <c r="B5" i="5"/>
  <c r="B6" i="5"/>
  <c r="B7" i="5"/>
  <c r="B8" i="5"/>
  <c r="B9" i="5"/>
  <c r="B10" i="5"/>
  <c r="B11" i="5"/>
  <c r="G11" i="5" s="1"/>
  <c r="H11" i="5" s="1"/>
  <c r="B12" i="5"/>
  <c r="B13" i="5"/>
  <c r="B14" i="5"/>
  <c r="B15" i="5"/>
  <c r="H15" i="5" s="1"/>
  <c r="B16" i="5"/>
  <c r="B17" i="5"/>
  <c r="B18" i="5"/>
  <c r="B19" i="5"/>
  <c r="B20" i="5"/>
  <c r="B21" i="5"/>
  <c r="B22" i="5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D6" i="5"/>
  <c r="G22" i="5"/>
  <c r="C22" i="5"/>
  <c r="E22" i="5" s="1"/>
  <c r="H21" i="5"/>
  <c r="C21" i="5"/>
  <c r="G20" i="5"/>
  <c r="C20" i="5"/>
  <c r="E20" i="5" s="1"/>
  <c r="H19" i="5"/>
  <c r="C19" i="5"/>
  <c r="H18" i="5"/>
  <c r="E18" i="5"/>
  <c r="C18" i="5"/>
  <c r="H17" i="5"/>
  <c r="C17" i="5"/>
  <c r="E17" i="5" s="1"/>
  <c r="E16" i="5"/>
  <c r="C16" i="5"/>
  <c r="E15" i="5"/>
  <c r="C15" i="5"/>
  <c r="G14" i="5"/>
  <c r="H14" i="5" s="1"/>
  <c r="C14" i="5"/>
  <c r="E14" i="5" s="1"/>
  <c r="G13" i="5"/>
  <c r="H13" i="5" s="1"/>
  <c r="C13" i="5"/>
  <c r="E13" i="5" s="1"/>
  <c r="C12" i="5"/>
  <c r="E12" i="5" s="1"/>
  <c r="C11" i="5"/>
  <c r="E11" i="5" s="1"/>
  <c r="H10" i="5"/>
  <c r="C10" i="5"/>
  <c r="E10" i="5" s="1"/>
  <c r="G9" i="5"/>
  <c r="H9" i="5" s="1"/>
  <c r="D9" i="5"/>
  <c r="E9" i="5" s="1"/>
  <c r="C9" i="5"/>
  <c r="C8" i="5"/>
  <c r="E8" i="5" s="1"/>
  <c r="C7" i="5"/>
  <c r="C6" i="5"/>
  <c r="E6" i="5" s="1"/>
  <c r="G5" i="5"/>
  <c r="C5" i="5"/>
  <c r="E5" i="5" s="1"/>
  <c r="G22" i="2"/>
  <c r="G20" i="2"/>
  <c r="G18" i="2"/>
  <c r="G17" i="2"/>
  <c r="G16" i="2"/>
  <c r="G14" i="2"/>
  <c r="G13" i="2"/>
  <c r="G12" i="2"/>
  <c r="G11" i="2"/>
  <c r="G5" i="2"/>
  <c r="C19" i="2"/>
  <c r="G18" i="4"/>
  <c r="G16" i="4"/>
  <c r="G15" i="4"/>
  <c r="H15" i="4" s="1"/>
  <c r="G14" i="4"/>
  <c r="H14" i="4" s="1"/>
  <c r="G13" i="4"/>
  <c r="H13" i="4" s="1"/>
  <c r="G11" i="4"/>
  <c r="H11" i="4" s="1"/>
  <c r="G7" i="4"/>
  <c r="G6" i="4"/>
  <c r="G6" i="2" s="1"/>
  <c r="H6" i="2" s="1"/>
  <c r="C13" i="4"/>
  <c r="E13" i="4" s="1"/>
  <c r="D9" i="4"/>
  <c r="D5" i="4"/>
  <c r="G5" i="4" s="1"/>
  <c r="H5" i="4" s="1"/>
  <c r="H6" i="4"/>
  <c r="G8" i="4"/>
  <c r="H8" i="4" s="1"/>
  <c r="G10" i="4"/>
  <c r="H10" i="4" s="1"/>
  <c r="G17" i="4"/>
  <c r="H17" i="4" s="1"/>
  <c r="H19" i="4"/>
  <c r="G20" i="4"/>
  <c r="H21" i="4"/>
  <c r="G22" i="4"/>
  <c r="C22" i="4"/>
  <c r="E22" i="4" s="1"/>
  <c r="C21" i="4"/>
  <c r="C20" i="4"/>
  <c r="E20" i="4" s="1"/>
  <c r="C19" i="4"/>
  <c r="C18" i="4"/>
  <c r="E18" i="4" s="1"/>
  <c r="C17" i="4"/>
  <c r="E17" i="4" s="1"/>
  <c r="C16" i="4"/>
  <c r="E16" i="4" s="1"/>
  <c r="C15" i="4"/>
  <c r="E15" i="4" s="1"/>
  <c r="C14" i="4"/>
  <c r="C12" i="4"/>
  <c r="E12" i="4" s="1"/>
  <c r="C11" i="4"/>
  <c r="E11" i="4" s="1"/>
  <c r="C10" i="4"/>
  <c r="E10" i="4" s="1"/>
  <c r="C9" i="4"/>
  <c r="C8" i="4"/>
  <c r="E8" i="4" s="1"/>
  <c r="C7" i="4"/>
  <c r="E7" i="4" s="1"/>
  <c r="H7" i="4" s="1"/>
  <c r="C6" i="4"/>
  <c r="E6" i="4" s="1"/>
  <c r="C5" i="4"/>
  <c r="C22" i="2"/>
  <c r="E22" i="2" s="1"/>
  <c r="C21" i="2"/>
  <c r="C20" i="2"/>
  <c r="E20" i="2" s="1"/>
  <c r="C18" i="2"/>
  <c r="E18" i="2" s="1"/>
  <c r="C17" i="2"/>
  <c r="E17" i="2" s="1"/>
  <c r="C16" i="2"/>
  <c r="E16" i="2" s="1"/>
  <c r="C15" i="2"/>
  <c r="E15" i="2" s="1"/>
  <c r="C14" i="2"/>
  <c r="E14" i="2" s="1"/>
  <c r="C13" i="2"/>
  <c r="E13" i="2" s="1"/>
  <c r="C11" i="2"/>
  <c r="E11" i="2" s="1"/>
  <c r="C12" i="2"/>
  <c r="E12" i="2" s="1"/>
  <c r="C10" i="2"/>
  <c r="E10" i="2" s="1"/>
  <c r="C9" i="2"/>
  <c r="C8" i="2"/>
  <c r="E8" i="2" s="1"/>
  <c r="C7" i="2"/>
  <c r="C6" i="2"/>
  <c r="E6" i="2" s="1"/>
  <c r="C5" i="2"/>
  <c r="E5" i="2" s="1"/>
  <c r="H5" i="5" l="1"/>
  <c r="H8" i="5"/>
  <c r="H6" i="5"/>
  <c r="H12" i="5"/>
  <c r="E9" i="4"/>
  <c r="E5" i="4"/>
  <c r="H18" i="4"/>
  <c r="G9" i="4"/>
  <c r="H9" i="4" s="1"/>
  <c r="H21" i="2" l="1"/>
  <c r="H19" i="2"/>
  <c r="H18" i="2"/>
  <c r="H17" i="2"/>
  <c r="H16" i="2"/>
  <c r="H15" i="2"/>
  <c r="H14" i="2"/>
  <c r="H13" i="2"/>
  <c r="H12" i="2"/>
  <c r="H11" i="2"/>
  <c r="H10" i="2"/>
  <c r="D9" i="2"/>
  <c r="H8" i="2"/>
  <c r="H5" i="2"/>
  <c r="G9" i="2" l="1"/>
  <c r="H9" i="2" s="1"/>
  <c r="E9" i="2"/>
</calcChain>
</file>

<file path=xl/sharedStrings.xml><?xml version="1.0" encoding="utf-8"?>
<sst xmlns="http://schemas.openxmlformats.org/spreadsheetml/2006/main" count="330" uniqueCount="81">
  <si>
    <t>Indicador</t>
  </si>
  <si>
    <t>Periodicidad</t>
  </si>
  <si>
    <t>Acumulación</t>
  </si>
  <si>
    <t>Línea Base</t>
  </si>
  <si>
    <t>Meta 2020</t>
  </si>
  <si>
    <t>Colombianos en el exterior registrados en el sistema de información de registro consular</t>
  </si>
  <si>
    <t>Anual</t>
  </si>
  <si>
    <t>Capacidad</t>
  </si>
  <si>
    <t>Consulados móviles, sábados consulares, y jornadas continuas o extendidas realizados</t>
  </si>
  <si>
    <t>Mensual</t>
  </si>
  <si>
    <t>Acumulado</t>
  </si>
  <si>
    <t>Consulados que cuenten con asesor jurídico y/o social</t>
  </si>
  <si>
    <t>Trámites y servicios a los que se puede acceder a través de la aplicación móvil Miconsulado</t>
  </si>
  <si>
    <t>Semestral</t>
  </si>
  <si>
    <t>Consulados que cuenten con una guía del inmigrante, propia</t>
  </si>
  <si>
    <t>Encuentros consulares realizados</t>
  </si>
  <si>
    <t>Trimestral</t>
  </si>
  <si>
    <t>Ferias de servicio realizadas</t>
  </si>
  <si>
    <t>Acciones de diplomacia cultural realizadas</t>
  </si>
  <si>
    <t>Visas otorgadas a migrantes y visitantes</t>
  </si>
  <si>
    <t>Sistemas de automatización migratoria en aeropuertos internacionales con mayor flujo migratorio implementados</t>
  </si>
  <si>
    <t>Candidaturas de Colombia gestionadas en escenarios internacionales</t>
  </si>
  <si>
    <t>Porcentaje de implementación de la estrategia para el mapeo de la participación del país en instancias internacionales</t>
  </si>
  <si>
    <t>Porcentaje de implementación de una estrategia para hacer seguimiento y evaluación a las resoluciones y declaraciones de Colombia, como proponente o copatrocinador, aceptadas en organismos multilaterales</t>
  </si>
  <si>
    <t>Iniciativas de desarrollo e integración fronteriza y fortalecimiento del Estado en las zonas de frontera implementadas</t>
  </si>
  <si>
    <t>https://sinergiapp.dnp.gov.co/#IndicadorProgEntSI/33/1481/5822</t>
  </si>
  <si>
    <t>https://sinergiapp.dnp.gov.co/#IndicadorProgEntSI/33/1481/5823</t>
  </si>
  <si>
    <t>https://sinergiapp.dnp.gov.co/#IndicadorProgEntSI/33/1481/5824</t>
  </si>
  <si>
    <t>https://sinergiapp.dnp.gov.co/#IndicadorProgEntSI/33/1481/5825</t>
  </si>
  <si>
    <t>https://sinergiapp.dnp.gov.co/#IndicadorProgEntSI/33/1481/5826</t>
  </si>
  <si>
    <t>https://sinergiapp.dnp.gov.co/#IndicadorProgEntSI/33/1481/5827</t>
  </si>
  <si>
    <t>https://sinergiapp.dnp.gov.co/#IndicadorProgEntSI/33/1481/5828</t>
  </si>
  <si>
    <t>https://sinergiapp.dnp.gov.co/#IndicadorProgEntSI/33/1483/5830</t>
  </si>
  <si>
    <t>https://sinergiapp.dnp.gov.co/#IndicadorProgEntSI/33/1483/5831</t>
  </si>
  <si>
    <t>https://sinergiapp.dnp.gov.co/#IndicadorProgEntSI/33/1482/5829</t>
  </si>
  <si>
    <t>https://sinergiapp.dnp.gov.co/#IndicadorProgEntSI/33/1484/5832</t>
  </si>
  <si>
    <t>https://sinergiapp.dnp.gov.co/#IndicadorProgEntSI/33/1484/5833</t>
  </si>
  <si>
    <t>https://sinergiapp.dnp.gov.co/#IndicadorProgEntSI/33/1484/5834</t>
  </si>
  <si>
    <t>https://sinergiapp.dnp.gov.co/#IndicadorProgEntSI/33/1485/5835</t>
  </si>
  <si>
    <t>https://sinergiapp.dnp.gov.co/#IndicadorProgEntSI/33/1480/5821</t>
  </si>
  <si>
    <t>Meta Cuatrienio
(2019-2022)</t>
  </si>
  <si>
    <t>Link consulta Sinergia</t>
  </si>
  <si>
    <t>N/A</t>
  </si>
  <si>
    <t>SECTOR RELACIONES EXTERIORES
SISTEMA DE SEGUIMIENTO A METAS DEL GOBIERNO
INDICADORES PND (2019-2022)</t>
  </si>
  <si>
    <t>Meta 2019</t>
  </si>
  <si>
    <t>Meta 2021</t>
  </si>
  <si>
    <t>Meta 2022</t>
  </si>
  <si>
    <t>* Metas sin acumular</t>
  </si>
  <si>
    <t>Porcentaje de países fronterizos priorizados en los que se incluye en la agenda bilateral la negociación de tratados en materia de doble o múltiple nacionalidad para Pueblos Indígenas. **</t>
  </si>
  <si>
    <t>CUATRIENIO 2019-2022</t>
  </si>
  <si>
    <t xml:space="preserve">Meta </t>
  </si>
  <si>
    <t>Avance acumulado 
Corte enero</t>
  </si>
  <si>
    <t>Porcentaje de avance</t>
  </si>
  <si>
    <t>SECTOR RELACIONES EXTERIORES
SISTEMA DE SEGUIMIENTO A METAS DEL GOBIERNO
INDICADORES PLAN NACIONAL DE DESARROLLO 2019-2022
Avance con corte a 31 de enero de 2020</t>
  </si>
  <si>
    <t>Avance
Corte enero</t>
  </si>
  <si>
    <t>SECTOR RELACIONES EXTERIORES
SISTEMA DE SEGUIMIENTO A METAS DEL GOBIERNO
INDICADORES PLAN NACIONAL DE DESARROLLO 2019-2022
Avance con corte a 31 de diciembre de 2019</t>
  </si>
  <si>
    <t>Avance acumulado 
Corte diciembre</t>
  </si>
  <si>
    <t>Avance
Corte diciembre</t>
  </si>
  <si>
    <t>Meta de la
 vigencia *</t>
  </si>
  <si>
    <t>Meta de la 
vigencia *</t>
  </si>
  <si>
    <t>** Indicadores Grupo Étnicos</t>
  </si>
  <si>
    <t>a. Informe de seguimiento de Medidas Cautelares y provisionales ordenadas por organismos internacionales con pueblos indígenas, realizado**</t>
  </si>
  <si>
    <t>Proyecto productivo formulado y viabilizado **</t>
  </si>
  <si>
    <t>Porcentaje de países fronterizos priorizados en los que se incluye en la agenda bilateral la negociación de tratados en materia de doble o múltiple nacionalidad para Pueblos Indígenas**</t>
  </si>
  <si>
    <t>a. Informe de seguimiento de Medidas Cautelares y provisionales ordenadas por organismos internacionales con pueblos indígenas, realizado. **</t>
  </si>
  <si>
    <t>SECTOR RELACIONES EXTERIORES
SISTEMA DE SEGUIMIENTO A METAS DEL GOBIERNO
INDICADORES PLAN NACIONAL DE DESARROLLO 2019-2022
Avance con corte a 29 de febrero de 2020</t>
  </si>
  <si>
    <t>Avance
Corte febrero</t>
  </si>
  <si>
    <t>Avance acumulado 
Corte febrero</t>
  </si>
  <si>
    <t>Porcentaje de avance en las gestiones para la apertura de la embajada de Etiopía, con el fin de afianzar la cooperación internacional **</t>
  </si>
  <si>
    <t>SECTOR RELACIONES EXTERIORES
SISTEMA DE SEGUIMIENTO A METAS DEL GOBIERNO
INDICADORES PLAN NACIONAL DE DESARROLLO 2019-2022
Avance con corte a 31 de marzo de 2020</t>
  </si>
  <si>
    <t>Avance
Corte marzo</t>
  </si>
  <si>
    <t>Avance acumulado 
Corte marzo</t>
  </si>
  <si>
    <t>SECTOR RELACIONES EXTERIORES
SISTEMA DE SEGUIMIENTO A METAS DEL GOBIERNO
INDICADORES PLAN NACIONAL DE DESARROLLO 2019-2022
Avance con corte a 30 de abril de 2020</t>
  </si>
  <si>
    <t>Avance
Corte abril</t>
  </si>
  <si>
    <t>Avance acumulado 
Corte abril</t>
  </si>
  <si>
    <t>SECTOR RELACIONES EXTERIORES
SISTEMA DE SEGUIMIENTO A METAS DEL GOBIERNO
INDICADORES PLAN NACIONAL DE DESARROLLO 2019-2022
Avance con corte a 31 de mayo de 2020</t>
  </si>
  <si>
    <t>Avance
Corte mayo</t>
  </si>
  <si>
    <t>Avance acumulado 
Corte mayo</t>
  </si>
  <si>
    <t>SECTOR RELACIONES EXTERIORES
SISTEMA DE SEGUIMIENTO A METAS DEL GOBIERNO
INDICADORES PLAN NACIONAL DE DESARROLLO 2019-2022
Avance con corte a 30 de junio de 2020</t>
  </si>
  <si>
    <t>Avance
Corte junio</t>
  </si>
  <si>
    <t>Avance acumulado 
Corte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</si>
</sst>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C0A]#,##0"/>
    <numFmt numFmtId="165" formatCode="0.0%"/>
  </numFmts>
  <fonts count="11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-0.249977111117893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9" tint="-0.249977111117893"/>
      <name val="Calibri"/>
      <family val="2"/>
      <scheme val="minor"/>
    </font>
    <font>
      <sz val="11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9" fontId="2" fillId="0" borderId="1" xfId="1" applyFont="1" applyFill="1" applyBorder="1" applyAlignment="1">
      <alignment horizontal="center" vertical="center" wrapText="1" readingOrder="1"/>
    </xf>
    <xf numFmtId="9" fontId="2" fillId="2" borderId="1" xfId="1" applyFont="1" applyFill="1" applyBorder="1" applyAlignment="1">
      <alignment horizontal="center" vertical="center" wrapText="1" readingOrder="1"/>
    </xf>
    <xf numFmtId="9" fontId="1" fillId="2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164" fontId="2" fillId="0" borderId="7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 wrapText="1" readingOrder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2" xfId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 wrapText="1" readingOrder="1"/>
    </xf>
    <xf numFmtId="164" fontId="2" fillId="3" borderId="2" xfId="0" applyNumberFormat="1" applyFont="1" applyFill="1" applyBorder="1" applyAlignment="1">
      <alignment horizontal="center" vertical="center" wrapText="1" readingOrder="1"/>
    </xf>
    <xf numFmtId="165" fontId="1" fillId="3" borderId="2" xfId="1" applyNumberFormat="1" applyFont="1" applyFill="1" applyBorder="1" applyAlignment="1">
      <alignment horizontal="center" vertical="center"/>
    </xf>
    <xf numFmtId="9" fontId="1" fillId="3" borderId="2" xfId="1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 wrapText="1" readingOrder="1"/>
    </xf>
    <xf numFmtId="9" fontId="2" fillId="3" borderId="2" xfId="0" applyNumberFormat="1" applyFont="1" applyFill="1" applyBorder="1" applyAlignment="1">
      <alignment horizontal="center" vertical="center" wrapTex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nergiapp.dnp.gov.co/" TargetMode="External"/><Relationship Id="rId13" Type="http://schemas.openxmlformats.org/officeDocument/2006/relationships/hyperlink" Target="https://sinergiapp.dnp.gov.co/" TargetMode="External"/><Relationship Id="rId3" Type="http://schemas.openxmlformats.org/officeDocument/2006/relationships/hyperlink" Target="https://sinergiapp.dnp.gov.co/" TargetMode="External"/><Relationship Id="rId7" Type="http://schemas.openxmlformats.org/officeDocument/2006/relationships/hyperlink" Target="https://sinergiapp.dnp.gov.co/" TargetMode="External"/><Relationship Id="rId12" Type="http://schemas.openxmlformats.org/officeDocument/2006/relationships/hyperlink" Target="https://sinergiapp.dnp.gov.co/" TargetMode="External"/><Relationship Id="rId2" Type="http://schemas.openxmlformats.org/officeDocument/2006/relationships/hyperlink" Target="https://sinergiapp.dnp.gov.co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inergiapp.dnp.gov.co/" TargetMode="External"/><Relationship Id="rId6" Type="http://schemas.openxmlformats.org/officeDocument/2006/relationships/hyperlink" Target="https://sinergiapp.dnp.gov.co/" TargetMode="External"/><Relationship Id="rId11" Type="http://schemas.openxmlformats.org/officeDocument/2006/relationships/hyperlink" Target="https://sinergiapp.dnp.gov.co/" TargetMode="External"/><Relationship Id="rId5" Type="http://schemas.openxmlformats.org/officeDocument/2006/relationships/hyperlink" Target="https://sinergiapp.dnp.gov.co/" TargetMode="External"/><Relationship Id="rId15" Type="http://schemas.openxmlformats.org/officeDocument/2006/relationships/hyperlink" Target="https://sinergiapp.dnp.gov.co/" TargetMode="External"/><Relationship Id="rId10" Type="http://schemas.openxmlformats.org/officeDocument/2006/relationships/hyperlink" Target="https://sinergiapp.dnp.gov.co/" TargetMode="External"/><Relationship Id="rId4" Type="http://schemas.openxmlformats.org/officeDocument/2006/relationships/hyperlink" Target="https://sinergiapp.dnp.gov.co/" TargetMode="External"/><Relationship Id="rId9" Type="http://schemas.openxmlformats.org/officeDocument/2006/relationships/hyperlink" Target="https://sinergiapp.dnp.gov.co/" TargetMode="External"/><Relationship Id="rId14" Type="http://schemas.openxmlformats.org/officeDocument/2006/relationships/hyperlink" Target="https://sinergiapp.dnp.gov.c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zoomScale="70" zoomScaleNormal="70" workbookViewId="0">
      <pane ySplit="3" topLeftCell="A4" activePane="bottomLeft" state="frozen"/>
      <selection pane="bottomLeft" sqref="A1:K1"/>
    </sheetView>
  </sheetViews>
  <sheetFormatPr baseColWidth="10" defaultRowHeight="14.25" x14ac:dyDescent="0.25"/>
  <cols>
    <col min="1" max="1" width="77.5703125" style="1" customWidth="1"/>
    <col min="2" max="2" width="15.140625" style="1" customWidth="1"/>
    <col min="3" max="3" width="16.140625" style="1" customWidth="1"/>
    <col min="4" max="8" width="15.140625" style="1" customWidth="1"/>
    <col min="9" max="9" width="17.28515625" style="1" customWidth="1"/>
    <col min="10" max="10" width="2.28515625" style="3" customWidth="1"/>
    <col min="11" max="11" width="64.42578125" style="1" bestFit="1" customWidth="1"/>
    <col min="12" max="16384" width="11.42578125" style="1"/>
  </cols>
  <sheetData>
    <row r="1" spans="1:14" ht="59.25" customHeight="1" x14ac:dyDescent="0.2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.7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4"/>
      <c r="K2" s="43"/>
    </row>
    <row r="3" spans="1:14" ht="61.5" customHeight="1" x14ac:dyDescent="0.25">
      <c r="A3" s="41" t="s">
        <v>0</v>
      </c>
      <c r="B3" s="41" t="s">
        <v>1</v>
      </c>
      <c r="C3" s="41" t="s">
        <v>2</v>
      </c>
      <c r="D3" s="41" t="s">
        <v>3</v>
      </c>
      <c r="E3" s="41" t="s">
        <v>44</v>
      </c>
      <c r="F3" s="41" t="s">
        <v>4</v>
      </c>
      <c r="G3" s="41" t="s">
        <v>45</v>
      </c>
      <c r="H3" s="41" t="s">
        <v>46</v>
      </c>
      <c r="I3" s="41" t="s">
        <v>40</v>
      </c>
      <c r="J3" s="44"/>
      <c r="K3" s="41" t="s">
        <v>41</v>
      </c>
    </row>
    <row r="4" spans="1:14" ht="55.5" customHeight="1" x14ac:dyDescent="0.25">
      <c r="A4" s="23" t="s">
        <v>5</v>
      </c>
      <c r="B4" s="24" t="s">
        <v>6</v>
      </c>
      <c r="C4" s="25" t="s">
        <v>7</v>
      </c>
      <c r="D4" s="40">
        <v>790000</v>
      </c>
      <c r="E4" s="26">
        <v>850200</v>
      </c>
      <c r="F4" s="26">
        <v>912200</v>
      </c>
      <c r="G4" s="26">
        <v>1048600</v>
      </c>
      <c r="H4" s="26">
        <v>1185000</v>
      </c>
      <c r="I4" s="40">
        <v>1185000</v>
      </c>
      <c r="K4" s="48" t="s">
        <v>25</v>
      </c>
    </row>
    <row r="5" spans="1:14" ht="61.5" customHeight="1" x14ac:dyDescent="0.25">
      <c r="A5" s="13" t="s">
        <v>8</v>
      </c>
      <c r="B5" s="4" t="s">
        <v>9</v>
      </c>
      <c r="C5" s="5" t="s">
        <v>10</v>
      </c>
      <c r="D5" s="7">
        <v>559</v>
      </c>
      <c r="E5" s="2">
        <v>500</v>
      </c>
      <c r="F5" s="2">
        <v>500</v>
      </c>
      <c r="G5" s="2">
        <v>500</v>
      </c>
      <c r="H5" s="2">
        <v>500</v>
      </c>
      <c r="I5" s="7">
        <v>2000</v>
      </c>
      <c r="K5" s="11" t="s">
        <v>26</v>
      </c>
    </row>
    <row r="6" spans="1:14" ht="45.75" customHeight="1" x14ac:dyDescent="0.25">
      <c r="A6" s="13" t="s">
        <v>11</v>
      </c>
      <c r="B6" s="4" t="s">
        <v>6</v>
      </c>
      <c r="C6" s="5" t="s">
        <v>7</v>
      </c>
      <c r="D6" s="9">
        <v>0.44</v>
      </c>
      <c r="E6" s="8">
        <v>0.44</v>
      </c>
      <c r="F6" s="8">
        <v>0.65</v>
      </c>
      <c r="G6" s="8">
        <v>0.85</v>
      </c>
      <c r="H6" s="8">
        <v>1</v>
      </c>
      <c r="I6" s="9">
        <v>1</v>
      </c>
      <c r="K6" s="11" t="s">
        <v>27</v>
      </c>
    </row>
    <row r="7" spans="1:14" ht="57" customHeight="1" x14ac:dyDescent="0.25">
      <c r="A7" s="13" t="s">
        <v>12</v>
      </c>
      <c r="B7" s="4" t="s">
        <v>13</v>
      </c>
      <c r="C7" s="5" t="s">
        <v>10</v>
      </c>
      <c r="D7" s="7">
        <v>0</v>
      </c>
      <c r="E7" s="2">
        <v>5</v>
      </c>
      <c r="F7" s="2">
        <v>5</v>
      </c>
      <c r="G7" s="2">
        <v>0</v>
      </c>
      <c r="H7" s="2">
        <v>0</v>
      </c>
      <c r="I7" s="7">
        <v>10</v>
      </c>
      <c r="K7" s="11" t="s">
        <v>28</v>
      </c>
    </row>
    <row r="8" spans="1:14" ht="38.25" customHeight="1" x14ac:dyDescent="0.25">
      <c r="A8" s="13" t="s">
        <v>14</v>
      </c>
      <c r="B8" s="4" t="s">
        <v>13</v>
      </c>
      <c r="C8" s="5" t="s">
        <v>10</v>
      </c>
      <c r="D8" s="9">
        <v>0</v>
      </c>
      <c r="E8" s="8">
        <v>0.75</v>
      </c>
      <c r="F8" s="8">
        <v>0.25</v>
      </c>
      <c r="G8" s="8">
        <v>0</v>
      </c>
      <c r="H8" s="8">
        <v>0</v>
      </c>
      <c r="I8" s="9">
        <v>1</v>
      </c>
      <c r="K8" s="11" t="s">
        <v>29</v>
      </c>
    </row>
    <row r="9" spans="1:14" ht="38.25" customHeight="1" x14ac:dyDescent="0.25">
      <c r="A9" s="13" t="s">
        <v>15</v>
      </c>
      <c r="B9" s="4" t="s">
        <v>16</v>
      </c>
      <c r="C9" s="5" t="s">
        <v>7</v>
      </c>
      <c r="D9" s="7">
        <v>0</v>
      </c>
      <c r="E9" s="2">
        <v>210</v>
      </c>
      <c r="F9" s="2">
        <v>420</v>
      </c>
      <c r="G9" s="2">
        <v>630</v>
      </c>
      <c r="H9" s="2">
        <v>840</v>
      </c>
      <c r="I9" s="7">
        <v>840</v>
      </c>
      <c r="K9" s="48" t="s">
        <v>30</v>
      </c>
      <c r="N9" s="27"/>
    </row>
    <row r="10" spans="1:14" ht="33" customHeight="1" x14ac:dyDescent="0.25">
      <c r="A10" s="13" t="s">
        <v>17</v>
      </c>
      <c r="B10" s="4" t="s">
        <v>16</v>
      </c>
      <c r="C10" s="5" t="s">
        <v>7</v>
      </c>
      <c r="D10" s="7">
        <v>18</v>
      </c>
      <c r="E10" s="2">
        <v>22</v>
      </c>
      <c r="F10" s="2">
        <v>23</v>
      </c>
      <c r="G10" s="2">
        <v>24</v>
      </c>
      <c r="H10" s="2">
        <v>25</v>
      </c>
      <c r="I10" s="7">
        <v>25</v>
      </c>
      <c r="K10" s="11" t="s">
        <v>31</v>
      </c>
    </row>
    <row r="11" spans="1:14" ht="38.25" customHeight="1" x14ac:dyDescent="0.25">
      <c r="A11" s="13" t="s">
        <v>19</v>
      </c>
      <c r="B11" s="4" t="s">
        <v>16</v>
      </c>
      <c r="C11" s="5" t="s">
        <v>10</v>
      </c>
      <c r="D11" s="7">
        <v>0</v>
      </c>
      <c r="E11" s="2">
        <v>22500</v>
      </c>
      <c r="F11" s="2">
        <v>22500</v>
      </c>
      <c r="G11" s="2">
        <v>22500</v>
      </c>
      <c r="H11" s="2">
        <v>22500</v>
      </c>
      <c r="I11" s="7">
        <v>90000</v>
      </c>
      <c r="K11" s="48" t="s">
        <v>32</v>
      </c>
    </row>
    <row r="12" spans="1:14" ht="43.5" customHeight="1" x14ac:dyDescent="0.25">
      <c r="A12" s="13" t="s">
        <v>18</v>
      </c>
      <c r="B12" s="4" t="s">
        <v>9</v>
      </c>
      <c r="C12" s="5" t="s">
        <v>7</v>
      </c>
      <c r="D12" s="7">
        <v>1164</v>
      </c>
      <c r="E12" s="2">
        <v>1464</v>
      </c>
      <c r="F12" s="2">
        <v>1774</v>
      </c>
      <c r="G12" s="2">
        <v>2084</v>
      </c>
      <c r="H12" s="2">
        <v>2344</v>
      </c>
      <c r="I12" s="7">
        <v>2344</v>
      </c>
      <c r="K12" s="48" t="s">
        <v>34</v>
      </c>
      <c r="M12" s="27"/>
      <c r="N12" s="27"/>
    </row>
    <row r="13" spans="1:14" ht="74.25" customHeight="1" x14ac:dyDescent="0.25">
      <c r="A13" s="13" t="s">
        <v>20</v>
      </c>
      <c r="B13" s="4" t="s">
        <v>13</v>
      </c>
      <c r="C13" s="5" t="s">
        <v>7</v>
      </c>
      <c r="D13" s="7">
        <v>1</v>
      </c>
      <c r="E13" s="2" t="s">
        <v>42</v>
      </c>
      <c r="F13" s="2">
        <v>1</v>
      </c>
      <c r="G13" s="2">
        <v>1</v>
      </c>
      <c r="H13" s="2">
        <v>2</v>
      </c>
      <c r="I13" s="7">
        <v>5</v>
      </c>
      <c r="K13" s="11" t="s">
        <v>33</v>
      </c>
    </row>
    <row r="14" spans="1:14" ht="56.25" customHeight="1" x14ac:dyDescent="0.25">
      <c r="A14" s="13" t="s">
        <v>21</v>
      </c>
      <c r="B14" s="4" t="s">
        <v>16</v>
      </c>
      <c r="C14" s="5" t="s">
        <v>7</v>
      </c>
      <c r="D14" s="7">
        <v>57</v>
      </c>
      <c r="E14" s="2">
        <v>65</v>
      </c>
      <c r="F14" s="2">
        <v>73</v>
      </c>
      <c r="G14" s="2">
        <v>83</v>
      </c>
      <c r="H14" s="2">
        <v>97</v>
      </c>
      <c r="I14" s="7">
        <v>97</v>
      </c>
      <c r="K14" s="11" t="s">
        <v>35</v>
      </c>
    </row>
    <row r="15" spans="1:14" ht="66" customHeight="1" x14ac:dyDescent="0.25">
      <c r="A15" s="13" t="s">
        <v>22</v>
      </c>
      <c r="B15" s="4" t="s">
        <v>13</v>
      </c>
      <c r="C15" s="5" t="s">
        <v>7</v>
      </c>
      <c r="D15" s="9">
        <v>0</v>
      </c>
      <c r="E15" s="8">
        <v>0.1</v>
      </c>
      <c r="F15" s="8">
        <v>0.4</v>
      </c>
      <c r="G15" s="8">
        <v>0.7</v>
      </c>
      <c r="H15" s="8">
        <v>1</v>
      </c>
      <c r="I15" s="9">
        <v>1</v>
      </c>
      <c r="K15" s="11" t="s">
        <v>36</v>
      </c>
    </row>
    <row r="16" spans="1:14" ht="116.25" customHeight="1" x14ac:dyDescent="0.25">
      <c r="A16" s="13" t="s">
        <v>23</v>
      </c>
      <c r="B16" s="4" t="s">
        <v>13</v>
      </c>
      <c r="C16" s="5" t="s">
        <v>7</v>
      </c>
      <c r="D16" s="9">
        <v>0</v>
      </c>
      <c r="E16" s="8">
        <v>0.1</v>
      </c>
      <c r="F16" s="8">
        <v>0.4</v>
      </c>
      <c r="G16" s="8">
        <v>0.7</v>
      </c>
      <c r="H16" s="8">
        <v>1</v>
      </c>
      <c r="I16" s="9">
        <v>1</v>
      </c>
      <c r="K16" s="11" t="s">
        <v>37</v>
      </c>
    </row>
    <row r="17" spans="1:11" ht="69.75" customHeight="1" x14ac:dyDescent="0.25">
      <c r="A17" s="13" t="s">
        <v>24</v>
      </c>
      <c r="B17" s="4" t="s">
        <v>16</v>
      </c>
      <c r="C17" s="5" t="s">
        <v>7</v>
      </c>
      <c r="D17" s="7">
        <v>808</v>
      </c>
      <c r="E17" s="2">
        <v>868</v>
      </c>
      <c r="F17" s="2">
        <v>908</v>
      </c>
      <c r="G17" s="2">
        <v>968</v>
      </c>
      <c r="H17" s="2">
        <v>1008</v>
      </c>
      <c r="I17" s="7">
        <v>1008</v>
      </c>
      <c r="K17" s="11" t="s">
        <v>38</v>
      </c>
    </row>
    <row r="18" spans="1:11" ht="39.75" customHeight="1" x14ac:dyDescent="0.25">
      <c r="A18" s="13" t="s">
        <v>62</v>
      </c>
      <c r="B18" s="4" t="s">
        <v>6</v>
      </c>
      <c r="C18" s="5" t="s">
        <v>10</v>
      </c>
      <c r="D18" s="7">
        <v>0</v>
      </c>
      <c r="E18" s="8" t="s">
        <v>42</v>
      </c>
      <c r="F18" s="8" t="s">
        <v>42</v>
      </c>
      <c r="G18" s="8" t="s">
        <v>42</v>
      </c>
      <c r="H18" s="2">
        <v>1</v>
      </c>
      <c r="I18" s="7">
        <v>1</v>
      </c>
      <c r="K18" s="11" t="s">
        <v>39</v>
      </c>
    </row>
    <row r="19" spans="1:11" ht="72" customHeight="1" x14ac:dyDescent="0.25">
      <c r="A19" s="13" t="s">
        <v>64</v>
      </c>
      <c r="B19" s="19" t="s">
        <v>6</v>
      </c>
      <c r="C19" s="20" t="s">
        <v>10</v>
      </c>
      <c r="D19" s="15">
        <v>1</v>
      </c>
      <c r="E19" s="6">
        <v>1</v>
      </c>
      <c r="F19" s="6">
        <v>1</v>
      </c>
      <c r="G19" s="6">
        <v>1</v>
      </c>
      <c r="H19" s="6">
        <v>1</v>
      </c>
      <c r="I19" s="7">
        <v>4</v>
      </c>
      <c r="K19" s="49"/>
    </row>
    <row r="20" spans="1:11" ht="73.5" customHeight="1" x14ac:dyDescent="0.25">
      <c r="A20" s="13" t="s">
        <v>63</v>
      </c>
      <c r="B20" s="6" t="s">
        <v>16</v>
      </c>
      <c r="C20" s="6" t="s">
        <v>10</v>
      </c>
      <c r="D20" s="38">
        <v>0</v>
      </c>
      <c r="E20" s="8" t="s">
        <v>42</v>
      </c>
      <c r="F20" s="8" t="s">
        <v>42</v>
      </c>
      <c r="G20" s="8" t="s">
        <v>42</v>
      </c>
      <c r="H20" s="8">
        <v>1</v>
      </c>
      <c r="I20" s="9">
        <v>1</v>
      </c>
      <c r="K20" s="49"/>
    </row>
    <row r="21" spans="1:11" ht="63" customHeight="1" x14ac:dyDescent="0.25">
      <c r="A21" s="13" t="s">
        <v>68</v>
      </c>
      <c r="B21" s="21" t="s">
        <v>6</v>
      </c>
      <c r="C21" s="21" t="s">
        <v>10</v>
      </c>
      <c r="D21" s="38">
        <v>0</v>
      </c>
      <c r="E21" s="8">
        <v>0.5</v>
      </c>
      <c r="F21" s="8">
        <v>0.5</v>
      </c>
      <c r="G21" s="8" t="s">
        <v>42</v>
      </c>
      <c r="H21" s="8" t="s">
        <v>42</v>
      </c>
      <c r="I21" s="9">
        <v>1</v>
      </c>
      <c r="K21" s="49"/>
    </row>
    <row r="23" spans="1:11" x14ac:dyDescent="0.25">
      <c r="A23" s="1" t="s">
        <v>60</v>
      </c>
    </row>
  </sheetData>
  <mergeCells count="1">
    <mergeCell ref="A1:K1"/>
  </mergeCells>
  <hyperlinks>
    <hyperlink ref="K4" r:id="rId1" location="IndicadorProgEntSI/33/1481/5822" xr:uid="{00000000-0004-0000-0000-000000000000}"/>
    <hyperlink ref="K5" r:id="rId2" location="IndicadorProgEntSI/33/1481/5823" xr:uid="{00000000-0004-0000-0000-000001000000}"/>
    <hyperlink ref="K6" r:id="rId3" location="IndicadorProgEntSI/33/1481/5824" xr:uid="{00000000-0004-0000-0000-000002000000}"/>
    <hyperlink ref="K7" r:id="rId4" location="IndicadorProgEntSI/33/1481/5825" xr:uid="{00000000-0004-0000-0000-000003000000}"/>
    <hyperlink ref="K8" r:id="rId5" location="IndicadorProgEntSI/33/1481/5826" xr:uid="{00000000-0004-0000-0000-000004000000}"/>
    <hyperlink ref="K9" r:id="rId6" location="IndicadorProgEntSI/33/1481/5827" xr:uid="{00000000-0004-0000-0000-000005000000}"/>
    <hyperlink ref="K10" r:id="rId7" location="IndicadorProgEntSI/33/1481/5828" xr:uid="{00000000-0004-0000-0000-000006000000}"/>
    <hyperlink ref="K11" r:id="rId8" location="IndicadorProgEntSI/33/1483/5830" xr:uid="{00000000-0004-0000-0000-000007000000}"/>
    <hyperlink ref="K12" r:id="rId9" location="IndicadorProgEntSI/33/1482/5829" xr:uid="{00000000-0004-0000-0000-000008000000}"/>
    <hyperlink ref="K13" r:id="rId10" location="IndicadorProgEntSI/33/1483/5831" xr:uid="{00000000-0004-0000-0000-000009000000}"/>
    <hyperlink ref="K14" r:id="rId11" location="IndicadorProgEntSI/33/1484/5832" xr:uid="{00000000-0004-0000-0000-00000A000000}"/>
    <hyperlink ref="K15" r:id="rId12" location="IndicadorProgEntSI/33/1484/5833" xr:uid="{00000000-0004-0000-0000-00000B000000}"/>
    <hyperlink ref="K16" r:id="rId13" location="IndicadorProgEntSI/33/1484/5834" xr:uid="{00000000-0004-0000-0000-00000C000000}"/>
    <hyperlink ref="K17" r:id="rId14" location="IndicadorProgEntSI/33/1485/5835" xr:uid="{00000000-0004-0000-0000-00000D000000}"/>
    <hyperlink ref="K18" r:id="rId15" location="IndicadorProgEntSI/33/1480/5821" xr:uid="{00000000-0004-0000-0000-00000E000000}"/>
  </hyperlinks>
  <pageMargins left="0" right="0" top="0" bottom="0" header="0" footer="0"/>
  <pageSetup paperSize="9"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F396-27AC-4C63-B557-3BD015C4F5AE}">
  <dimension ref="A1:M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" style="3" customWidth="1"/>
    <col min="7" max="8" width="25" style="1" customWidth="1"/>
    <col min="9" max="16384" width="11.42578125" style="1"/>
  </cols>
  <sheetData>
    <row r="1" spans="1:13" ht="83.25" customHeight="1" x14ac:dyDescent="0.25">
      <c r="A1" s="56" t="s">
        <v>55</v>
      </c>
      <c r="B1" s="56"/>
      <c r="C1" s="56"/>
      <c r="D1" s="56"/>
      <c r="E1" s="56"/>
      <c r="F1" s="56"/>
      <c r="G1" s="56"/>
      <c r="H1" s="56"/>
    </row>
    <row r="2" spans="1:13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13" ht="26.25" customHeight="1" x14ac:dyDescent="0.25">
      <c r="A3" s="59" t="s">
        <v>0</v>
      </c>
      <c r="B3" s="60" t="s">
        <v>3</v>
      </c>
      <c r="C3" s="57">
        <v>2019</v>
      </c>
      <c r="D3" s="57"/>
      <c r="E3" s="57"/>
      <c r="F3" s="58" t="s">
        <v>49</v>
      </c>
      <c r="G3" s="58"/>
      <c r="H3" s="58"/>
    </row>
    <row r="4" spans="1:13" ht="61.5" customHeight="1" x14ac:dyDescent="0.25">
      <c r="A4" s="59"/>
      <c r="B4" s="60"/>
      <c r="C4" s="41" t="s">
        <v>58</v>
      </c>
      <c r="D4" s="41" t="s">
        <v>57</v>
      </c>
      <c r="E4" s="41" t="s">
        <v>52</v>
      </c>
      <c r="F4" s="42" t="s">
        <v>50</v>
      </c>
      <c r="G4" s="42" t="s">
        <v>56</v>
      </c>
      <c r="H4" s="42" t="s">
        <v>52</v>
      </c>
    </row>
    <row r="5" spans="1:13" ht="55.5" customHeight="1" x14ac:dyDescent="0.25">
      <c r="A5" s="13" t="s">
        <v>5</v>
      </c>
      <c r="B5" s="35">
        <f>'METAS 2019-2022'!D4</f>
        <v>790000</v>
      </c>
      <c r="C5" s="14">
        <f>+'METAS 2019-2022'!E4-'METAS 2019-2022'!D4</f>
        <v>60200</v>
      </c>
      <c r="D5" s="14">
        <f>4653+5082+5218+5368+5997+6140+6817+6792+6237+7824+8132+6859</f>
        <v>75119</v>
      </c>
      <c r="E5" s="12">
        <f>+D5/C5</f>
        <v>1.2478239202657808</v>
      </c>
      <c r="F5" s="35">
        <f>'METAS 2019-2022'!I4</f>
        <v>1185000</v>
      </c>
      <c r="G5" s="29">
        <f>+B5+D5</f>
        <v>865119</v>
      </c>
      <c r="H5" s="36">
        <f>(G5-B5)/(F5-B5)</f>
        <v>0.19017468354430381</v>
      </c>
    </row>
    <row r="6" spans="1:13" ht="61.5" customHeight="1" x14ac:dyDescent="0.25">
      <c r="A6" s="13" t="s">
        <v>8</v>
      </c>
      <c r="B6" s="35">
        <f>'METAS 2019-2022'!D5</f>
        <v>559</v>
      </c>
      <c r="C6" s="15">
        <f>+'METAS 2019-2022'!E5</f>
        <v>500</v>
      </c>
      <c r="D6" s="15">
        <v>505</v>
      </c>
      <c r="E6" s="12">
        <f t="shared" ref="E6:E22" si="0">+D6/C6</f>
        <v>1.01</v>
      </c>
      <c r="F6" s="35">
        <f>'METAS 2019-2022'!I5</f>
        <v>2000</v>
      </c>
      <c r="G6" s="29">
        <f>+D6</f>
        <v>505</v>
      </c>
      <c r="H6" s="32">
        <f>G6/F6</f>
        <v>0.2525</v>
      </c>
    </row>
    <row r="7" spans="1:13" ht="45.75" customHeight="1" x14ac:dyDescent="0.25">
      <c r="A7" s="13" t="s">
        <v>11</v>
      </c>
      <c r="B7" s="39">
        <f>'METAS 2019-2022'!D6</f>
        <v>0.44</v>
      </c>
      <c r="C7" s="16">
        <f>+'METAS 2019-2022'!E6</f>
        <v>0.44</v>
      </c>
      <c r="D7" s="16">
        <v>1.03</v>
      </c>
      <c r="E7" s="12">
        <f t="shared" si="0"/>
        <v>2.3409090909090908</v>
      </c>
      <c r="F7" s="34">
        <f>'METAS 2019-2022'!I6</f>
        <v>1</v>
      </c>
      <c r="G7" s="31">
        <f>+D7</f>
        <v>1.03</v>
      </c>
      <c r="H7" s="32">
        <f>+E7</f>
        <v>2.3409090909090908</v>
      </c>
    </row>
    <row r="8" spans="1:13" ht="57" customHeight="1" x14ac:dyDescent="0.25">
      <c r="A8" s="13" t="s">
        <v>12</v>
      </c>
      <c r="B8" s="35">
        <f>'METAS 2019-2022'!D7</f>
        <v>0</v>
      </c>
      <c r="C8" s="15">
        <f>+'METAS 2019-2022'!E7</f>
        <v>5</v>
      </c>
      <c r="D8" s="15">
        <v>7</v>
      </c>
      <c r="E8" s="12">
        <f t="shared" si="0"/>
        <v>1.4</v>
      </c>
      <c r="F8" s="35">
        <f>'METAS 2019-2022'!I7</f>
        <v>10</v>
      </c>
      <c r="G8" s="29">
        <f t="shared" ref="G8:G22" si="1">+D8</f>
        <v>7</v>
      </c>
      <c r="H8" s="32">
        <f>G8/F8</f>
        <v>0.7</v>
      </c>
    </row>
    <row r="9" spans="1:13" ht="38.25" customHeight="1" x14ac:dyDescent="0.25">
      <c r="A9" s="13" t="s">
        <v>14</v>
      </c>
      <c r="B9" s="34">
        <f>'METAS 2019-2022'!D8</f>
        <v>0</v>
      </c>
      <c r="C9" s="16">
        <f>+'METAS 2019-2022'!E8</f>
        <v>0.75</v>
      </c>
      <c r="D9" s="10">
        <f>67/105</f>
        <v>0.63809523809523805</v>
      </c>
      <c r="E9" s="12">
        <f t="shared" si="0"/>
        <v>0.85079365079365077</v>
      </c>
      <c r="F9" s="34">
        <f>'METAS 2019-2022'!I8</f>
        <v>1</v>
      </c>
      <c r="G9" s="31">
        <f t="shared" si="1"/>
        <v>0.63809523809523805</v>
      </c>
      <c r="H9" s="37">
        <f>+G9</f>
        <v>0.63809523809523805</v>
      </c>
    </row>
    <row r="10" spans="1:13" ht="38.25" customHeight="1" x14ac:dyDescent="0.25">
      <c r="A10" s="13" t="s">
        <v>15</v>
      </c>
      <c r="B10" s="35">
        <f>'METAS 2019-2022'!D9</f>
        <v>0</v>
      </c>
      <c r="C10" s="14">
        <f>+'METAS 2019-2022'!E9</f>
        <v>210</v>
      </c>
      <c r="D10" s="15">
        <v>187</v>
      </c>
      <c r="E10" s="12">
        <f t="shared" si="0"/>
        <v>0.89047619047619042</v>
      </c>
      <c r="F10" s="35">
        <f>'METAS 2019-2022'!I9</f>
        <v>840</v>
      </c>
      <c r="G10" s="29">
        <f t="shared" si="1"/>
        <v>187</v>
      </c>
      <c r="H10" s="32">
        <f>G10/F10</f>
        <v>0.22261904761904761</v>
      </c>
    </row>
    <row r="11" spans="1:13" ht="33" customHeight="1" x14ac:dyDescent="0.25">
      <c r="A11" s="13" t="s">
        <v>17</v>
      </c>
      <c r="B11" s="35">
        <f>'METAS 2019-2022'!D10</f>
        <v>18</v>
      </c>
      <c r="C11" s="15">
        <f>+'METAS 2019-2022'!E10-'METAS 2019-2022'!D10</f>
        <v>4</v>
      </c>
      <c r="D11" s="14">
        <v>7</v>
      </c>
      <c r="E11" s="12">
        <f t="shared" si="0"/>
        <v>1.75</v>
      </c>
      <c r="F11" s="35">
        <f>'METAS 2019-2022'!I10</f>
        <v>25</v>
      </c>
      <c r="G11" s="29">
        <f>+B11+D11</f>
        <v>25</v>
      </c>
      <c r="H11" s="32">
        <f>(G11-B11)/(F11-B11)</f>
        <v>1</v>
      </c>
    </row>
    <row r="12" spans="1:13" ht="38.25" customHeight="1" x14ac:dyDescent="0.25">
      <c r="A12" s="13" t="s">
        <v>19</v>
      </c>
      <c r="B12" s="35">
        <f>'METAS 2019-2022'!D11</f>
        <v>0</v>
      </c>
      <c r="C12" s="15">
        <f>+'METAS 2019-2022'!E11</f>
        <v>22500</v>
      </c>
      <c r="D12" s="17">
        <v>44191</v>
      </c>
      <c r="E12" s="12">
        <f t="shared" si="0"/>
        <v>1.9640444444444445</v>
      </c>
      <c r="F12" s="35">
        <f>'METAS 2019-2022'!I11</f>
        <v>90000</v>
      </c>
      <c r="G12" s="29">
        <f>+D12</f>
        <v>44191</v>
      </c>
      <c r="H12" s="32">
        <f>G12/F12</f>
        <v>0.49101111111111112</v>
      </c>
    </row>
    <row r="13" spans="1:13" ht="43.5" customHeight="1" x14ac:dyDescent="0.25">
      <c r="A13" s="13" t="s">
        <v>18</v>
      </c>
      <c r="B13" s="35">
        <f>'METAS 2019-2022'!D12</f>
        <v>1164</v>
      </c>
      <c r="C13" s="15">
        <f>+'METAS 2019-2022'!E12-'METAS 2019-2022'!D12</f>
        <v>300</v>
      </c>
      <c r="D13" s="14">
        <v>402</v>
      </c>
      <c r="E13" s="12">
        <f t="shared" si="0"/>
        <v>1.34</v>
      </c>
      <c r="F13" s="35">
        <f>'METAS 2019-2022'!I12</f>
        <v>2344</v>
      </c>
      <c r="G13" s="29">
        <f>+B13+D13</f>
        <v>1566</v>
      </c>
      <c r="H13" s="32">
        <f>(G13-B13)/(F13-B13)</f>
        <v>0.34067796610169493</v>
      </c>
      <c r="I13" s="27"/>
      <c r="M13" s="27"/>
    </row>
    <row r="14" spans="1:13" ht="74.25" customHeight="1" x14ac:dyDescent="0.25">
      <c r="A14" s="13" t="s">
        <v>20</v>
      </c>
      <c r="B14" s="35">
        <f>'METAS 2019-2022'!D13</f>
        <v>1</v>
      </c>
      <c r="C14" s="15" t="str">
        <f>+'METAS 2019-2022'!E13</f>
        <v>N/A</v>
      </c>
      <c r="D14" s="14" t="s">
        <v>42</v>
      </c>
      <c r="E14" s="12" t="s">
        <v>42</v>
      </c>
      <c r="F14" s="35">
        <f>'METAS 2019-2022'!I13</f>
        <v>5</v>
      </c>
      <c r="G14" s="29">
        <f>+B14</f>
        <v>1</v>
      </c>
      <c r="H14" s="32">
        <f>G14/F14</f>
        <v>0.2</v>
      </c>
    </row>
    <row r="15" spans="1:13" ht="56.25" customHeight="1" x14ac:dyDescent="0.25">
      <c r="A15" s="13" t="s">
        <v>21</v>
      </c>
      <c r="B15" s="35">
        <f>'METAS 2019-2022'!D14</f>
        <v>57</v>
      </c>
      <c r="C15" s="15">
        <f>+'METAS 2019-2022'!E14-'METAS 2019-2022'!D14</f>
        <v>8</v>
      </c>
      <c r="D15" s="14">
        <v>28</v>
      </c>
      <c r="E15" s="12">
        <f t="shared" si="0"/>
        <v>3.5</v>
      </c>
      <c r="F15" s="35">
        <f>'METAS 2019-2022'!I14</f>
        <v>97</v>
      </c>
      <c r="G15" s="29">
        <f>+B15+D15</f>
        <v>85</v>
      </c>
      <c r="H15" s="32">
        <f>(G15-B15)/(F15-B15)</f>
        <v>0.7</v>
      </c>
      <c r="M15" s="27"/>
    </row>
    <row r="16" spans="1:13" ht="66" customHeight="1" x14ac:dyDescent="0.25">
      <c r="A16" s="13" t="s">
        <v>22</v>
      </c>
      <c r="B16" s="34">
        <f>'METAS 2019-2022'!D15</f>
        <v>0</v>
      </c>
      <c r="C16" s="16">
        <f>+'METAS 2019-2022'!E15</f>
        <v>0.1</v>
      </c>
      <c r="D16" s="16">
        <v>0.1</v>
      </c>
      <c r="E16" s="12">
        <f t="shared" si="0"/>
        <v>1</v>
      </c>
      <c r="F16" s="34">
        <f>'METAS 2019-2022'!I15</f>
        <v>1</v>
      </c>
      <c r="G16" s="31">
        <f>+D16</f>
        <v>0.1</v>
      </c>
      <c r="H16" s="32">
        <f>G16/F16</f>
        <v>0.1</v>
      </c>
    </row>
    <row r="17" spans="1:13" ht="116.25" customHeight="1" x14ac:dyDescent="0.25">
      <c r="A17" s="13" t="s">
        <v>23</v>
      </c>
      <c r="B17" s="34">
        <f>'METAS 2019-2022'!D16</f>
        <v>0</v>
      </c>
      <c r="C17" s="16">
        <f>+'METAS 2019-2022'!E16</f>
        <v>0.1</v>
      </c>
      <c r="D17" s="16">
        <v>0.1</v>
      </c>
      <c r="E17" s="12">
        <f t="shared" si="0"/>
        <v>1</v>
      </c>
      <c r="F17" s="34">
        <f>'METAS 2019-2022'!I16</f>
        <v>1</v>
      </c>
      <c r="G17" s="31">
        <f t="shared" si="1"/>
        <v>0.1</v>
      </c>
      <c r="H17" s="32">
        <f>G17/F17</f>
        <v>0.1</v>
      </c>
    </row>
    <row r="18" spans="1:13" ht="69.75" customHeight="1" x14ac:dyDescent="0.25">
      <c r="A18" s="13" t="s">
        <v>24</v>
      </c>
      <c r="B18" s="35">
        <f>'METAS 2019-2022'!D17</f>
        <v>808</v>
      </c>
      <c r="C18" s="14">
        <f>+'METAS 2019-2022'!E17-'METAS 2019-2022'!D17</f>
        <v>60</v>
      </c>
      <c r="D18" s="14">
        <v>117</v>
      </c>
      <c r="E18" s="12">
        <f t="shared" si="0"/>
        <v>1.95</v>
      </c>
      <c r="F18" s="35">
        <f>'METAS 2019-2022'!I17</f>
        <v>1008</v>
      </c>
      <c r="G18" s="29">
        <f>+B18+D18</f>
        <v>925</v>
      </c>
      <c r="H18" s="32">
        <f>(G18-B18)/(F18-B18)</f>
        <v>0.58499999999999996</v>
      </c>
      <c r="M18" s="27"/>
    </row>
    <row r="19" spans="1:13" ht="39.75" customHeight="1" x14ac:dyDescent="0.25">
      <c r="A19" s="13" t="s">
        <v>62</v>
      </c>
      <c r="B19" s="35">
        <f>'METAS 2019-2022'!D18</f>
        <v>0</v>
      </c>
      <c r="C19" s="15" t="str">
        <f>+'METAS 2019-2022'!E18</f>
        <v>N/A</v>
      </c>
      <c r="D19" s="15" t="s">
        <v>42</v>
      </c>
      <c r="E19" s="12" t="s">
        <v>42</v>
      </c>
      <c r="F19" s="35">
        <f>'METAS 2019-2022'!I18</f>
        <v>1</v>
      </c>
      <c r="G19" s="29">
        <v>0</v>
      </c>
      <c r="H19" s="32">
        <f>G19/F19</f>
        <v>0</v>
      </c>
    </row>
    <row r="20" spans="1:13" ht="72" customHeight="1" x14ac:dyDescent="0.25">
      <c r="A20" s="13" t="s">
        <v>61</v>
      </c>
      <c r="B20" s="30">
        <f>'METAS 2019-2022'!D19</f>
        <v>1</v>
      </c>
      <c r="C20" s="15">
        <f>+'METAS 2019-2022'!E19</f>
        <v>1</v>
      </c>
      <c r="D20" s="15">
        <v>1</v>
      </c>
      <c r="E20" s="12">
        <f t="shared" si="0"/>
        <v>1</v>
      </c>
      <c r="F20" s="35">
        <f>'METAS 2019-2022'!I19</f>
        <v>4</v>
      </c>
      <c r="G20" s="29">
        <f t="shared" si="1"/>
        <v>1</v>
      </c>
      <c r="H20" s="31">
        <v>0.25</v>
      </c>
    </row>
    <row r="21" spans="1:13" ht="73.5" customHeight="1" x14ac:dyDescent="0.25">
      <c r="A21" s="13" t="s">
        <v>48</v>
      </c>
      <c r="B21" s="34">
        <f>'METAS 2019-2022'!D20</f>
        <v>0</v>
      </c>
      <c r="C21" s="16" t="str">
        <f>+'METAS 2019-2022'!E20</f>
        <v>N/A</v>
      </c>
      <c r="D21" s="28" t="s">
        <v>42</v>
      </c>
      <c r="E21" s="12" t="s">
        <v>42</v>
      </c>
      <c r="F21" s="34">
        <f>'METAS 2019-2022'!I20</f>
        <v>1</v>
      </c>
      <c r="G21" s="29">
        <v>0</v>
      </c>
      <c r="H21" s="32">
        <f>G21/F21</f>
        <v>0</v>
      </c>
    </row>
    <row r="22" spans="1:13" ht="63" customHeight="1" x14ac:dyDescent="0.25">
      <c r="A22" s="13" t="s">
        <v>68</v>
      </c>
      <c r="B22" s="34">
        <f>'METAS 2019-2022'!D21</f>
        <v>0</v>
      </c>
      <c r="C22" s="16">
        <f>+'METAS 2019-2022'!E21</f>
        <v>0.5</v>
      </c>
      <c r="D22" s="28">
        <v>0.5</v>
      </c>
      <c r="E22" s="12">
        <f t="shared" si="0"/>
        <v>1</v>
      </c>
      <c r="F22" s="34">
        <f>'METAS 2019-2022'!I21</f>
        <v>1</v>
      </c>
      <c r="G22" s="31">
        <f t="shared" si="1"/>
        <v>0.5</v>
      </c>
      <c r="H22" s="31">
        <v>0.5</v>
      </c>
    </row>
    <row r="24" spans="1:13" x14ac:dyDescent="0.25">
      <c r="A24" s="1" t="s">
        <v>47</v>
      </c>
    </row>
    <row r="25" spans="1:13" x14ac:dyDescent="0.25">
      <c r="A25" s="1" t="s">
        <v>60</v>
      </c>
    </row>
  </sheetData>
  <mergeCells count="5">
    <mergeCell ref="A1:H1"/>
    <mergeCell ref="C3:E3"/>
    <mergeCell ref="F3:H3"/>
    <mergeCell ref="A3:A4"/>
    <mergeCell ref="B3:B4"/>
  </mergeCells>
  <pageMargins left="0.7" right="0.7" top="0.75" bottom="0.75" header="0.3" footer="0.3"/>
  <pageSetup orientation="portrait" r:id="rId1"/>
  <ignoredErrors>
    <ignoredError sqref="H7 H9 G11:H11 H13:H15 G14 G18:H18 G12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53D4-7D85-4069-89AA-09DBEE88B3A5}">
  <dimension ref="A1:H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8" ht="83.25" customHeight="1" x14ac:dyDescent="0.25">
      <c r="A1" s="56" t="s">
        <v>53</v>
      </c>
      <c r="B1" s="56"/>
      <c r="C1" s="56"/>
      <c r="D1" s="56"/>
      <c r="E1" s="56"/>
      <c r="F1" s="56"/>
      <c r="G1" s="56"/>
      <c r="H1" s="56"/>
    </row>
    <row r="2" spans="1:8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26.25" customHeight="1" x14ac:dyDescent="0.25">
      <c r="A3" s="59" t="s">
        <v>0</v>
      </c>
      <c r="B3" s="60" t="s">
        <v>3</v>
      </c>
      <c r="C3" s="57">
        <v>2020</v>
      </c>
      <c r="D3" s="57"/>
      <c r="E3" s="57"/>
      <c r="F3" s="58" t="s">
        <v>49</v>
      </c>
      <c r="G3" s="58"/>
      <c r="H3" s="58"/>
    </row>
    <row r="4" spans="1:8" ht="61.5" customHeight="1" x14ac:dyDescent="0.25">
      <c r="A4" s="59"/>
      <c r="B4" s="60"/>
      <c r="C4" s="41" t="s">
        <v>59</v>
      </c>
      <c r="D4" s="41" t="s">
        <v>54</v>
      </c>
      <c r="E4" s="41" t="s">
        <v>52</v>
      </c>
      <c r="F4" s="42" t="s">
        <v>50</v>
      </c>
      <c r="G4" s="42" t="s">
        <v>51</v>
      </c>
      <c r="H4" s="42" t="s">
        <v>52</v>
      </c>
    </row>
    <row r="5" spans="1:8" ht="55.5" customHeight="1" x14ac:dyDescent="0.25">
      <c r="A5" s="13" t="s">
        <v>5</v>
      </c>
      <c r="B5" s="35">
        <f>'METAS 2019-2022'!D4</f>
        <v>790000</v>
      </c>
      <c r="C5" s="14">
        <f>+'METAS 2019-2022'!F4-'METAS 2019-2022'!E4</f>
        <v>62000</v>
      </c>
      <c r="D5" s="14">
        <v>7471</v>
      </c>
      <c r="E5" s="12">
        <f>+D5/C5</f>
        <v>0.1205</v>
      </c>
      <c r="F5" s="35">
        <f>'METAS 2019-2022'!I4</f>
        <v>1185000</v>
      </c>
      <c r="G5" s="29">
        <f>B5+'DICIEMBRE 2019'!D5+D5</f>
        <v>872590</v>
      </c>
      <c r="H5" s="36">
        <f>(G5-B5)/(F5-B5)</f>
        <v>0.20908860759493672</v>
      </c>
    </row>
    <row r="6" spans="1:8" ht="61.5" customHeight="1" x14ac:dyDescent="0.25">
      <c r="A6" s="13" t="s">
        <v>8</v>
      </c>
      <c r="B6" s="35">
        <f>'METAS 2019-2022'!D5</f>
        <v>559</v>
      </c>
      <c r="C6" s="15">
        <f>+'METAS 2019-2022'!F5</f>
        <v>500</v>
      </c>
      <c r="D6" s="15">
        <v>14</v>
      </c>
      <c r="E6" s="12">
        <f t="shared" ref="E6:E22" si="0">+D6/C6</f>
        <v>2.8000000000000001E-2</v>
      </c>
      <c r="F6" s="35">
        <f>'METAS 2019-2022'!I5</f>
        <v>2000</v>
      </c>
      <c r="G6" s="30">
        <f>+'DICIEMBRE 2019'!G6+D6</f>
        <v>519</v>
      </c>
      <c r="H6" s="32">
        <f>G6/F6</f>
        <v>0.25950000000000001</v>
      </c>
    </row>
    <row r="7" spans="1:8" ht="45.75" customHeight="1" x14ac:dyDescent="0.25">
      <c r="A7" s="13" t="s">
        <v>11</v>
      </c>
      <c r="B7" s="34">
        <f>'METAS 2019-2022'!D6</f>
        <v>0.44</v>
      </c>
      <c r="C7" s="16">
        <f>+'METAS 2019-2022'!F6</f>
        <v>0.65</v>
      </c>
      <c r="D7" s="10">
        <v>1.06666666666667</v>
      </c>
      <c r="E7" s="12">
        <f>(D7-B7)/(C7-B7)</f>
        <v>2.9841269841269997</v>
      </c>
      <c r="F7" s="34">
        <f>'METAS 2019-2022'!I6</f>
        <v>1</v>
      </c>
      <c r="G7" s="31">
        <f>+D7</f>
        <v>1.06666666666667</v>
      </c>
      <c r="H7" s="32">
        <f>(G7-B7)/(F7-B7)</f>
        <v>1.1190476190476251</v>
      </c>
    </row>
    <row r="8" spans="1:8" ht="57" customHeight="1" x14ac:dyDescent="0.25">
      <c r="A8" s="13" t="s">
        <v>12</v>
      </c>
      <c r="B8" s="35">
        <f>'METAS 2019-2022'!D7</f>
        <v>0</v>
      </c>
      <c r="C8" s="15">
        <f>+'METAS 2019-2022'!F7</f>
        <v>5</v>
      </c>
      <c r="D8" s="15">
        <v>0</v>
      </c>
      <c r="E8" s="12">
        <f t="shared" si="0"/>
        <v>0</v>
      </c>
      <c r="F8" s="35">
        <f>'METAS 2019-2022'!I7</f>
        <v>10</v>
      </c>
      <c r="G8" s="30">
        <f>+'DICIEMBRE 2019'!D8+D8</f>
        <v>7</v>
      </c>
      <c r="H8" s="32">
        <f>G8/F8</f>
        <v>0.7</v>
      </c>
    </row>
    <row r="9" spans="1:8" ht="38.25" customHeight="1" x14ac:dyDescent="0.25">
      <c r="A9" s="13" t="s">
        <v>14</v>
      </c>
      <c r="B9" s="34">
        <f>'METAS 2019-2022'!D8</f>
        <v>0</v>
      </c>
      <c r="C9" s="16">
        <f>+'METAS 2019-2022'!F8</f>
        <v>0.25</v>
      </c>
      <c r="D9" s="10">
        <f>6/105</f>
        <v>5.7142857142857141E-2</v>
      </c>
      <c r="E9" s="12">
        <f>+D9/C9</f>
        <v>0.22857142857142856</v>
      </c>
      <c r="F9" s="34">
        <f>'METAS 2019-2022'!I8</f>
        <v>1</v>
      </c>
      <c r="G9" s="32">
        <f>+'DICIEMBRE 2019'!D9+'ENERO 2020'!D9</f>
        <v>0.69523809523809521</v>
      </c>
      <c r="H9" s="37">
        <f>+G9/F9</f>
        <v>0.69523809523809521</v>
      </c>
    </row>
    <row r="10" spans="1:8" ht="38.25" customHeight="1" x14ac:dyDescent="0.25">
      <c r="A10" s="13" t="s">
        <v>15</v>
      </c>
      <c r="B10" s="35">
        <f>'METAS 2019-2022'!D9</f>
        <v>0</v>
      </c>
      <c r="C10" s="14">
        <f>+'METAS 2019-2022'!F9-'METAS 2019-2022'!E9</f>
        <v>210</v>
      </c>
      <c r="D10" s="15">
        <v>1</v>
      </c>
      <c r="E10" s="12">
        <f t="shared" si="0"/>
        <v>4.7619047619047623E-3</v>
      </c>
      <c r="F10" s="35">
        <f>'METAS 2019-2022'!I9</f>
        <v>840</v>
      </c>
      <c r="G10" s="30">
        <f>+'DICIEMBRE 2019'!D10+D10</f>
        <v>188</v>
      </c>
      <c r="H10" s="32">
        <f>G10/F10</f>
        <v>0.22380952380952382</v>
      </c>
    </row>
    <row r="11" spans="1:8" ht="33" customHeight="1" x14ac:dyDescent="0.25">
      <c r="A11" s="13" t="s">
        <v>17</v>
      </c>
      <c r="B11" s="35">
        <f>'METAS 2019-2022'!D10</f>
        <v>18</v>
      </c>
      <c r="C11" s="15">
        <f>+'METAS 2019-2022'!F10-'METAS 2019-2022'!E10</f>
        <v>1</v>
      </c>
      <c r="D11" s="14">
        <v>0</v>
      </c>
      <c r="E11" s="12">
        <f t="shared" si="0"/>
        <v>0</v>
      </c>
      <c r="F11" s="35">
        <f>'METAS 2019-2022'!I10</f>
        <v>25</v>
      </c>
      <c r="G11" s="29">
        <f>+B11+'DICIEMBRE 2019'!D11</f>
        <v>25</v>
      </c>
      <c r="H11" s="32">
        <f>(G11-B11)/(F11-B11)</f>
        <v>1</v>
      </c>
    </row>
    <row r="12" spans="1:8" ht="38.25" customHeight="1" x14ac:dyDescent="0.25">
      <c r="A12" s="13" t="s">
        <v>19</v>
      </c>
      <c r="B12" s="35">
        <f>'METAS 2019-2022'!D11</f>
        <v>0</v>
      </c>
      <c r="C12" s="15">
        <f>+'METAS 2019-2022'!F11</f>
        <v>22500</v>
      </c>
      <c r="D12" s="17">
        <v>4125</v>
      </c>
      <c r="E12" s="12">
        <f t="shared" si="0"/>
        <v>0.18333333333333332</v>
      </c>
      <c r="F12" s="35">
        <f>'METAS 2019-2022'!I11</f>
        <v>90000</v>
      </c>
      <c r="G12" s="33">
        <f>+'DICIEMBRE 2019'!D12+'ENERO 2020'!D12</f>
        <v>48316</v>
      </c>
      <c r="H12" s="32">
        <f>G12/F12</f>
        <v>0.53684444444444446</v>
      </c>
    </row>
    <row r="13" spans="1:8" ht="43.5" customHeight="1" x14ac:dyDescent="0.25">
      <c r="A13" s="13" t="s">
        <v>18</v>
      </c>
      <c r="B13" s="35">
        <f>'METAS 2019-2022'!D12</f>
        <v>1164</v>
      </c>
      <c r="C13" s="15">
        <f>+'METAS 2019-2022'!F12-'METAS 2019-2022'!E12</f>
        <v>310</v>
      </c>
      <c r="D13" s="14">
        <v>2</v>
      </c>
      <c r="E13" s="12">
        <f t="shared" si="0"/>
        <v>6.4516129032258064E-3</v>
      </c>
      <c r="F13" s="35">
        <f>'METAS 2019-2022'!I12</f>
        <v>2344</v>
      </c>
      <c r="G13" s="33">
        <f>B13+'DICIEMBRE 2019'!D13+D13</f>
        <v>1568</v>
      </c>
      <c r="H13" s="32">
        <f>(G13-B13)/(F13-B13)</f>
        <v>0.34237288135593219</v>
      </c>
    </row>
    <row r="14" spans="1:8" ht="74.25" customHeight="1" x14ac:dyDescent="0.25">
      <c r="A14" s="13" t="s">
        <v>20</v>
      </c>
      <c r="B14" s="35">
        <f>'METAS 2019-2022'!D13</f>
        <v>1</v>
      </c>
      <c r="C14" s="15">
        <f>+'METAS 2019-2022'!F13</f>
        <v>1</v>
      </c>
      <c r="D14" s="14">
        <v>1</v>
      </c>
      <c r="E14" s="12">
        <f t="shared" si="0"/>
        <v>1</v>
      </c>
      <c r="F14" s="35">
        <f>'METAS 2019-2022'!I13</f>
        <v>5</v>
      </c>
      <c r="G14" s="29">
        <f>+B14+D14</f>
        <v>2</v>
      </c>
      <c r="H14" s="32">
        <f>G14/F14</f>
        <v>0.4</v>
      </c>
    </row>
    <row r="15" spans="1:8" ht="56.25" customHeight="1" x14ac:dyDescent="0.25">
      <c r="A15" s="13" t="s">
        <v>21</v>
      </c>
      <c r="B15" s="35">
        <f>'METAS 2019-2022'!D14</f>
        <v>57</v>
      </c>
      <c r="C15" s="15">
        <f>+'METAS 2019-2022'!F14-'METAS 2019-2022'!E14</f>
        <v>8</v>
      </c>
      <c r="D15" s="14">
        <v>0</v>
      </c>
      <c r="E15" s="12">
        <f t="shared" si="0"/>
        <v>0</v>
      </c>
      <c r="F15" s="35">
        <f>'METAS 2019-2022'!I14</f>
        <v>97</v>
      </c>
      <c r="G15" s="29">
        <f>+B15+'DICIEMBRE 2019'!D15+D15</f>
        <v>85</v>
      </c>
      <c r="H15" s="32">
        <f>(G15-B15)/(F15-B15)</f>
        <v>0.7</v>
      </c>
    </row>
    <row r="16" spans="1:8" ht="66" customHeight="1" x14ac:dyDescent="0.25">
      <c r="A16" s="13" t="s">
        <v>22</v>
      </c>
      <c r="B16" s="34">
        <f>'METAS 2019-2022'!D15</f>
        <v>0</v>
      </c>
      <c r="C16" s="16">
        <f>+'METAS 2019-2022'!F15-'METAS 2019-2022'!E15</f>
        <v>0.30000000000000004</v>
      </c>
      <c r="D16" s="16">
        <v>0.03</v>
      </c>
      <c r="E16" s="12">
        <f t="shared" si="0"/>
        <v>9.9999999999999978E-2</v>
      </c>
      <c r="F16" s="34">
        <f>'METAS 2019-2022'!I15</f>
        <v>1</v>
      </c>
      <c r="G16" s="31">
        <f>+'DICIEMBRE 2019'!D16+'ENERO 2020'!D16</f>
        <v>0.13</v>
      </c>
      <c r="H16" s="32">
        <f>G16/F16</f>
        <v>0.13</v>
      </c>
    </row>
    <row r="17" spans="1:8" ht="116.25" customHeight="1" x14ac:dyDescent="0.25">
      <c r="A17" s="13" t="s">
        <v>23</v>
      </c>
      <c r="B17" s="34">
        <f>'METAS 2019-2022'!D16</f>
        <v>0</v>
      </c>
      <c r="C17" s="16">
        <f>+'METAS 2019-2022'!F16-'METAS 2019-2022'!E16</f>
        <v>0.30000000000000004</v>
      </c>
      <c r="D17" s="16">
        <v>0.03</v>
      </c>
      <c r="E17" s="12">
        <f t="shared" si="0"/>
        <v>9.9999999999999978E-2</v>
      </c>
      <c r="F17" s="34">
        <f>'METAS 2019-2022'!I16</f>
        <v>1</v>
      </c>
      <c r="G17" s="31">
        <f>+'DICIEMBRE 2019'!D17+'ENERO 2020'!D17</f>
        <v>0.13</v>
      </c>
      <c r="H17" s="32">
        <f>G17/F17</f>
        <v>0.13</v>
      </c>
    </row>
    <row r="18" spans="1:8" ht="69.75" customHeight="1" x14ac:dyDescent="0.25">
      <c r="A18" s="13" t="s">
        <v>24</v>
      </c>
      <c r="B18" s="35">
        <f>'METAS 2019-2022'!D17</f>
        <v>808</v>
      </c>
      <c r="C18" s="15">
        <f>+'METAS 2019-2022'!F17-'METAS 2019-2022'!E17</f>
        <v>40</v>
      </c>
      <c r="D18" s="14">
        <v>9</v>
      </c>
      <c r="E18" s="12">
        <f t="shared" si="0"/>
        <v>0.22500000000000001</v>
      </c>
      <c r="F18" s="35">
        <f>'METAS 2019-2022'!I17</f>
        <v>1008</v>
      </c>
      <c r="G18" s="29">
        <f>+B18+'DICIEMBRE 2019'!D18+'ENERO 2020'!D18</f>
        <v>934</v>
      </c>
      <c r="H18" s="32">
        <f>(G18-B18)/(F18-B18)</f>
        <v>0.63</v>
      </c>
    </row>
    <row r="19" spans="1:8" ht="39.75" customHeight="1" x14ac:dyDescent="0.25">
      <c r="A19" s="13" t="s">
        <v>62</v>
      </c>
      <c r="B19" s="35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5">
        <f>'METAS 2019-2022'!I18</f>
        <v>1</v>
      </c>
      <c r="G19" s="30">
        <v>0</v>
      </c>
      <c r="H19" s="32">
        <f>G19/F19</f>
        <v>0</v>
      </c>
    </row>
    <row r="20" spans="1:8" ht="72" customHeight="1" x14ac:dyDescent="0.25">
      <c r="A20" s="13" t="s">
        <v>61</v>
      </c>
      <c r="B20" s="30">
        <f>'METAS 2019-2022'!D19</f>
        <v>1</v>
      </c>
      <c r="C20" s="15">
        <f>+'METAS 2019-2022'!F19</f>
        <v>1</v>
      </c>
      <c r="D20" s="15">
        <v>0</v>
      </c>
      <c r="E20" s="12">
        <f t="shared" si="0"/>
        <v>0</v>
      </c>
      <c r="F20" s="35">
        <f>'METAS 2019-2022'!I19</f>
        <v>4</v>
      </c>
      <c r="G20" s="30">
        <f>+'DICIEMBRE 2019'!D20+D20</f>
        <v>1</v>
      </c>
      <c r="H20" s="31">
        <v>0.25</v>
      </c>
    </row>
    <row r="21" spans="1:8" ht="73.5" customHeight="1" x14ac:dyDescent="0.25">
      <c r="A21" s="13" t="s">
        <v>48</v>
      </c>
      <c r="B21" s="34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4">
        <f>'METAS 2019-2022'!I20</f>
        <v>1</v>
      </c>
      <c r="G21" s="34">
        <v>0</v>
      </c>
      <c r="H21" s="32">
        <f>G21/F21</f>
        <v>0</v>
      </c>
    </row>
    <row r="22" spans="1:8" ht="63" customHeight="1" x14ac:dyDescent="0.25">
      <c r="A22" s="13" t="s">
        <v>68</v>
      </c>
      <c r="B22" s="34">
        <f>'METAS 2019-2022'!D21</f>
        <v>0</v>
      </c>
      <c r="C22" s="16">
        <f>+'METAS 2019-2022'!F21</f>
        <v>0.5</v>
      </c>
      <c r="D22" s="28">
        <v>0</v>
      </c>
      <c r="E22" s="12">
        <f t="shared" si="0"/>
        <v>0</v>
      </c>
      <c r="F22" s="34">
        <f>'METAS 2019-2022'!I21</f>
        <v>1</v>
      </c>
      <c r="G22" s="31">
        <f>+'DICIEMBRE 2019'!D22</f>
        <v>0.5</v>
      </c>
      <c r="H22" s="31">
        <v>0.5</v>
      </c>
    </row>
    <row r="24" spans="1:8" x14ac:dyDescent="0.25">
      <c r="A24" s="1" t="s">
        <v>47</v>
      </c>
    </row>
    <row r="25" spans="1:8" x14ac:dyDescent="0.25">
      <c r="A25" s="1" t="s">
        <v>60</v>
      </c>
    </row>
  </sheetData>
  <mergeCells count="5">
    <mergeCell ref="A1:H1"/>
    <mergeCell ref="C3:E3"/>
    <mergeCell ref="F3:H3"/>
    <mergeCell ref="A3:A4"/>
    <mergeCell ref="B3:B4"/>
  </mergeCells>
  <pageMargins left="0.7" right="0.7" top="0.75" bottom="0.75" header="0.3" footer="0.3"/>
  <ignoredErrors>
    <ignoredError sqref="H9 H12:H15 H11 H18 E7 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F71C-6443-47A0-BA54-C35DB3A9A7C4}">
  <dimension ref="A1:H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8" ht="83.25" customHeight="1" x14ac:dyDescent="0.25">
      <c r="A1" s="56" t="s">
        <v>65</v>
      </c>
      <c r="B1" s="56"/>
      <c r="C1" s="56"/>
      <c r="D1" s="56"/>
      <c r="E1" s="56"/>
      <c r="F1" s="56"/>
      <c r="G1" s="56"/>
      <c r="H1" s="56"/>
    </row>
    <row r="2" spans="1:8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26.25" customHeight="1" x14ac:dyDescent="0.25">
      <c r="A3" s="59" t="s">
        <v>0</v>
      </c>
      <c r="B3" s="60" t="s">
        <v>3</v>
      </c>
      <c r="C3" s="57">
        <v>2020</v>
      </c>
      <c r="D3" s="57"/>
      <c r="E3" s="57"/>
      <c r="F3" s="58" t="s">
        <v>49</v>
      </c>
      <c r="G3" s="58"/>
      <c r="H3" s="58"/>
    </row>
    <row r="4" spans="1:8" ht="61.5" customHeight="1" x14ac:dyDescent="0.25">
      <c r="A4" s="59"/>
      <c r="B4" s="60"/>
      <c r="C4" s="41" t="s">
        <v>59</v>
      </c>
      <c r="D4" s="41" t="s">
        <v>66</v>
      </c>
      <c r="E4" s="41" t="s">
        <v>52</v>
      </c>
      <c r="F4" s="42" t="s">
        <v>50</v>
      </c>
      <c r="G4" s="42" t="s">
        <v>67</v>
      </c>
      <c r="H4" s="42" t="s">
        <v>52</v>
      </c>
    </row>
    <row r="5" spans="1:8" ht="55.5" customHeight="1" x14ac:dyDescent="0.25">
      <c r="A5" s="13" t="s">
        <v>5</v>
      </c>
      <c r="B5" s="35">
        <f>'METAS 2019-2022'!D4</f>
        <v>790000</v>
      </c>
      <c r="C5" s="14">
        <f>+'METAS 2019-2022'!F4-'METAS 2019-2022'!E4</f>
        <v>62000</v>
      </c>
      <c r="D5" s="14">
        <f>7471+8228</f>
        <v>15699</v>
      </c>
      <c r="E5" s="12">
        <f>+D5/C5</f>
        <v>0.25320967741935485</v>
      </c>
      <c r="F5" s="35">
        <f>'METAS 2019-2022'!I4</f>
        <v>1185000</v>
      </c>
      <c r="G5" s="29">
        <f>B5+'DICIEMBRE 2019'!D5+D5</f>
        <v>880818</v>
      </c>
      <c r="H5" s="36">
        <f>(G5-B5)/(F5-B5)</f>
        <v>0.22991898734177216</v>
      </c>
    </row>
    <row r="6" spans="1:8" ht="61.5" customHeight="1" x14ac:dyDescent="0.25">
      <c r="A6" s="13" t="s">
        <v>8</v>
      </c>
      <c r="B6" s="35">
        <f>'METAS 2019-2022'!D5</f>
        <v>559</v>
      </c>
      <c r="C6" s="15">
        <f>+'METAS 2019-2022'!F5</f>
        <v>500</v>
      </c>
      <c r="D6" s="15">
        <f>14+25</f>
        <v>39</v>
      </c>
      <c r="E6" s="12">
        <f t="shared" ref="E6:E22" si="0">+D6/C6</f>
        <v>7.8E-2</v>
      </c>
      <c r="F6" s="35">
        <f>'METAS 2019-2022'!I5</f>
        <v>2000</v>
      </c>
      <c r="G6" s="30">
        <f>+'DICIEMBRE 2019'!G6+D6</f>
        <v>544</v>
      </c>
      <c r="H6" s="32">
        <f>G6/F6</f>
        <v>0.27200000000000002</v>
      </c>
    </row>
    <row r="7" spans="1:8" ht="45.75" customHeight="1" x14ac:dyDescent="0.25">
      <c r="A7" s="13" t="s">
        <v>11</v>
      </c>
      <c r="B7" s="34">
        <f>'METAS 2019-2022'!D6</f>
        <v>0.44</v>
      </c>
      <c r="C7" s="16">
        <f>+'METAS 2019-2022'!F6</f>
        <v>0.65</v>
      </c>
      <c r="D7" s="10">
        <v>1.06666666666667</v>
      </c>
      <c r="E7" s="12">
        <f>(D7-B7)/(C7-B7)</f>
        <v>2.9841269841269997</v>
      </c>
      <c r="F7" s="34">
        <f>'METAS 2019-2022'!I6</f>
        <v>1</v>
      </c>
      <c r="G7" s="31">
        <f>+D7</f>
        <v>1.06666666666667</v>
      </c>
      <c r="H7" s="32">
        <f>(G7-B7)/(F7-B7)</f>
        <v>1.1190476190476251</v>
      </c>
    </row>
    <row r="8" spans="1:8" ht="57" customHeight="1" x14ac:dyDescent="0.25">
      <c r="A8" s="13" t="s">
        <v>12</v>
      </c>
      <c r="B8" s="35">
        <f>'METAS 2019-2022'!D7</f>
        <v>0</v>
      </c>
      <c r="C8" s="15">
        <f>+'METAS 2019-2022'!F7</f>
        <v>5</v>
      </c>
      <c r="D8" s="15">
        <v>0</v>
      </c>
      <c r="E8" s="12">
        <f t="shared" si="0"/>
        <v>0</v>
      </c>
      <c r="F8" s="35">
        <f>'METAS 2019-2022'!I7</f>
        <v>10</v>
      </c>
      <c r="G8" s="30">
        <f>+'DICIEMBRE 2019'!D8+D8</f>
        <v>7</v>
      </c>
      <c r="H8" s="32">
        <f>G8/F8</f>
        <v>0.7</v>
      </c>
    </row>
    <row r="9" spans="1:8" ht="38.25" customHeight="1" x14ac:dyDescent="0.25">
      <c r="A9" s="13" t="s">
        <v>14</v>
      </c>
      <c r="B9" s="34">
        <f>'METAS 2019-2022'!D8</f>
        <v>0</v>
      </c>
      <c r="C9" s="16">
        <f>+'METAS 2019-2022'!F8</f>
        <v>0.25</v>
      </c>
      <c r="D9" s="10">
        <f>6/105</f>
        <v>5.7142857142857141E-2</v>
      </c>
      <c r="E9" s="12">
        <f>+D9/C9</f>
        <v>0.22857142857142856</v>
      </c>
      <c r="F9" s="34">
        <f>'METAS 2019-2022'!I8</f>
        <v>1</v>
      </c>
      <c r="G9" s="32">
        <f>+'DICIEMBRE 2019'!D9+'ENERO 2020'!D9</f>
        <v>0.69523809523809521</v>
      </c>
      <c r="H9" s="37">
        <f>+G9/F9</f>
        <v>0.69523809523809521</v>
      </c>
    </row>
    <row r="10" spans="1:8" ht="38.25" customHeight="1" x14ac:dyDescent="0.25">
      <c r="A10" s="13" t="s">
        <v>15</v>
      </c>
      <c r="B10" s="35">
        <f>'METAS 2019-2022'!D9</f>
        <v>0</v>
      </c>
      <c r="C10" s="14">
        <f>+'METAS 2019-2022'!F9-'METAS 2019-2022'!E9</f>
        <v>210</v>
      </c>
      <c r="D10" s="15">
        <f>1+6</f>
        <v>7</v>
      </c>
      <c r="E10" s="12">
        <f t="shared" si="0"/>
        <v>3.3333333333333333E-2</v>
      </c>
      <c r="F10" s="35">
        <f>'METAS 2019-2022'!I9</f>
        <v>840</v>
      </c>
      <c r="G10" s="30">
        <f>+'DICIEMBRE 2019'!D10+D10</f>
        <v>194</v>
      </c>
      <c r="H10" s="32">
        <f>G10/F10</f>
        <v>0.23095238095238096</v>
      </c>
    </row>
    <row r="11" spans="1:8" ht="33" customHeight="1" x14ac:dyDescent="0.25">
      <c r="A11" s="13" t="s">
        <v>17</v>
      </c>
      <c r="B11" s="35">
        <f>'METAS 2019-2022'!D10</f>
        <v>18</v>
      </c>
      <c r="C11" s="15">
        <f>+'METAS 2019-2022'!F10-'METAS 2019-2022'!E10</f>
        <v>1</v>
      </c>
      <c r="D11" s="14">
        <v>0</v>
      </c>
      <c r="E11" s="12">
        <f t="shared" si="0"/>
        <v>0</v>
      </c>
      <c r="F11" s="35">
        <f>'METAS 2019-2022'!I10</f>
        <v>25</v>
      </c>
      <c r="G11" s="29">
        <f>+B11+'DICIEMBRE 2019'!D11</f>
        <v>25</v>
      </c>
      <c r="H11" s="32">
        <f>(G11-B11)/(F11-B11)</f>
        <v>1</v>
      </c>
    </row>
    <row r="12" spans="1:8" ht="38.25" customHeight="1" x14ac:dyDescent="0.25">
      <c r="A12" s="13" t="s">
        <v>19</v>
      </c>
      <c r="B12" s="35">
        <f>'METAS 2019-2022'!D11</f>
        <v>0</v>
      </c>
      <c r="C12" s="15">
        <f>+'METAS 2019-2022'!F11</f>
        <v>22500</v>
      </c>
      <c r="D12" s="17">
        <f>4125+2924</f>
        <v>7049</v>
      </c>
      <c r="E12" s="12">
        <f t="shared" si="0"/>
        <v>0.31328888888888889</v>
      </c>
      <c r="F12" s="35">
        <f>'METAS 2019-2022'!I11</f>
        <v>90000</v>
      </c>
      <c r="G12" s="33">
        <f>+'DICIEMBRE 2019'!D12+D12</f>
        <v>51240</v>
      </c>
      <c r="H12" s="32">
        <f>G12/F12</f>
        <v>0.56933333333333336</v>
      </c>
    </row>
    <row r="13" spans="1:8" ht="43.5" customHeight="1" x14ac:dyDescent="0.25">
      <c r="A13" s="13" t="s">
        <v>18</v>
      </c>
      <c r="B13" s="35">
        <f>'METAS 2019-2022'!D12</f>
        <v>1164</v>
      </c>
      <c r="C13" s="15">
        <f>+'METAS 2019-2022'!F12-'METAS 2019-2022'!E12</f>
        <v>310</v>
      </c>
      <c r="D13" s="14">
        <f>2+18</f>
        <v>20</v>
      </c>
      <c r="E13" s="12">
        <f t="shared" si="0"/>
        <v>6.4516129032258063E-2</v>
      </c>
      <c r="F13" s="35">
        <f>'METAS 2019-2022'!I12</f>
        <v>2344</v>
      </c>
      <c r="G13" s="33">
        <f>B13+'DICIEMBRE 2019'!D13+D13</f>
        <v>1586</v>
      </c>
      <c r="H13" s="32">
        <f>(G13-B13)/(F13-B13)</f>
        <v>0.35762711864406782</v>
      </c>
    </row>
    <row r="14" spans="1:8" ht="74.25" customHeight="1" x14ac:dyDescent="0.25">
      <c r="A14" s="13" t="s">
        <v>20</v>
      </c>
      <c r="B14" s="35">
        <f>'METAS 2019-2022'!D13</f>
        <v>1</v>
      </c>
      <c r="C14" s="15">
        <f>+'METAS 2019-2022'!F13</f>
        <v>1</v>
      </c>
      <c r="D14" s="14">
        <v>1</v>
      </c>
      <c r="E14" s="12">
        <f t="shared" si="0"/>
        <v>1</v>
      </c>
      <c r="F14" s="35">
        <f>'METAS 2019-2022'!I13</f>
        <v>5</v>
      </c>
      <c r="G14" s="29">
        <f>+B14+D14</f>
        <v>2</v>
      </c>
      <c r="H14" s="32">
        <f>G14/F14</f>
        <v>0.4</v>
      </c>
    </row>
    <row r="15" spans="1:8" ht="56.25" customHeight="1" x14ac:dyDescent="0.25">
      <c r="A15" s="13" t="s">
        <v>21</v>
      </c>
      <c r="B15" s="35">
        <f>'METAS 2019-2022'!D14</f>
        <v>57</v>
      </c>
      <c r="C15" s="15">
        <f>+'METAS 2019-2022'!F14-'METAS 2019-2022'!E14</f>
        <v>8</v>
      </c>
      <c r="D15" s="14">
        <v>0</v>
      </c>
      <c r="E15" s="12">
        <f t="shared" si="0"/>
        <v>0</v>
      </c>
      <c r="F15" s="35">
        <f>'METAS 2019-2022'!I14</f>
        <v>97</v>
      </c>
      <c r="G15" s="29">
        <f>+B15+'DICIEMBRE 2019'!D15+D15</f>
        <v>85</v>
      </c>
      <c r="H15" s="32">
        <f>(G15-B15)/(F15-B15)</f>
        <v>0.7</v>
      </c>
    </row>
    <row r="16" spans="1:8" ht="66" customHeight="1" x14ac:dyDescent="0.25">
      <c r="A16" s="13" t="s">
        <v>22</v>
      </c>
      <c r="B16" s="34">
        <f>'METAS 2019-2022'!D15</f>
        <v>0</v>
      </c>
      <c r="C16" s="16">
        <f>+'METAS 2019-2022'!F15-'METAS 2019-2022'!E15</f>
        <v>0.30000000000000004</v>
      </c>
      <c r="D16" s="16">
        <v>0.06</v>
      </c>
      <c r="E16" s="12">
        <f t="shared" si="0"/>
        <v>0.19999999999999996</v>
      </c>
      <c r="F16" s="34">
        <f>'METAS 2019-2022'!I15</f>
        <v>1</v>
      </c>
      <c r="G16" s="31">
        <f>+'DICIEMBRE 2019'!D16+D16</f>
        <v>0.16</v>
      </c>
      <c r="H16" s="32">
        <f>G16/F16</f>
        <v>0.16</v>
      </c>
    </row>
    <row r="17" spans="1:8" ht="116.25" customHeight="1" x14ac:dyDescent="0.25">
      <c r="A17" s="13" t="s">
        <v>23</v>
      </c>
      <c r="B17" s="34">
        <f>'METAS 2019-2022'!D16</f>
        <v>0</v>
      </c>
      <c r="C17" s="16">
        <f>+'METAS 2019-2022'!F16-'METAS 2019-2022'!E16</f>
        <v>0.30000000000000004</v>
      </c>
      <c r="D17" s="16">
        <v>0.06</v>
      </c>
      <c r="E17" s="12">
        <f t="shared" si="0"/>
        <v>0.19999999999999996</v>
      </c>
      <c r="F17" s="34">
        <f>'METAS 2019-2022'!I16</f>
        <v>1</v>
      </c>
      <c r="G17" s="31">
        <f>+'DICIEMBRE 2019'!D17+D17</f>
        <v>0.16</v>
      </c>
      <c r="H17" s="32">
        <f>G17/F17</f>
        <v>0.16</v>
      </c>
    </row>
    <row r="18" spans="1:8" ht="69.75" customHeight="1" x14ac:dyDescent="0.25">
      <c r="A18" s="13" t="s">
        <v>24</v>
      </c>
      <c r="B18" s="35">
        <f>'METAS 2019-2022'!D17</f>
        <v>808</v>
      </c>
      <c r="C18" s="15">
        <f>+'METAS 2019-2022'!F17-'METAS 2019-2022'!E17</f>
        <v>40</v>
      </c>
      <c r="D18" s="14">
        <f>9+3</f>
        <v>12</v>
      </c>
      <c r="E18" s="12">
        <f t="shared" si="0"/>
        <v>0.3</v>
      </c>
      <c r="F18" s="35">
        <f>'METAS 2019-2022'!I17</f>
        <v>1008</v>
      </c>
      <c r="G18" s="29">
        <f>+B18+'DICIEMBRE 2019'!D18+D18</f>
        <v>937</v>
      </c>
      <c r="H18" s="32">
        <f>(G18-B18)/(F18-B18)</f>
        <v>0.64500000000000002</v>
      </c>
    </row>
    <row r="19" spans="1:8" ht="39.75" customHeight="1" x14ac:dyDescent="0.25">
      <c r="A19" s="13" t="s">
        <v>62</v>
      </c>
      <c r="B19" s="35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5">
        <f>'METAS 2019-2022'!I18</f>
        <v>1</v>
      </c>
      <c r="G19" s="30">
        <v>0</v>
      </c>
      <c r="H19" s="32">
        <f>G19/F19</f>
        <v>0</v>
      </c>
    </row>
    <row r="20" spans="1:8" ht="72" customHeight="1" x14ac:dyDescent="0.25">
      <c r="A20" s="13" t="s">
        <v>61</v>
      </c>
      <c r="B20" s="30">
        <f>'METAS 2019-2022'!D19</f>
        <v>1</v>
      </c>
      <c r="C20" s="15">
        <f>+'METAS 2019-2022'!F19</f>
        <v>1</v>
      </c>
      <c r="D20" s="15">
        <v>0</v>
      </c>
      <c r="E20" s="12">
        <f t="shared" si="0"/>
        <v>0</v>
      </c>
      <c r="F20" s="35">
        <f>'METAS 2019-2022'!I19</f>
        <v>4</v>
      </c>
      <c r="G20" s="30">
        <f>+'DICIEMBRE 2019'!D20+D20</f>
        <v>1</v>
      </c>
      <c r="H20" s="31">
        <v>0.25</v>
      </c>
    </row>
    <row r="21" spans="1:8" ht="73.5" customHeight="1" x14ac:dyDescent="0.25">
      <c r="A21" s="13" t="s">
        <v>48</v>
      </c>
      <c r="B21" s="34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4">
        <f>'METAS 2019-2022'!I20</f>
        <v>1</v>
      </c>
      <c r="G21" s="34">
        <v>0</v>
      </c>
      <c r="H21" s="32">
        <f>G21/F21</f>
        <v>0</v>
      </c>
    </row>
    <row r="22" spans="1:8" ht="63" customHeight="1" x14ac:dyDescent="0.25">
      <c r="A22" s="13" t="s">
        <v>68</v>
      </c>
      <c r="B22" s="34">
        <f>'METAS 2019-2022'!D21</f>
        <v>0</v>
      </c>
      <c r="C22" s="16">
        <f>+'METAS 2019-2022'!F21</f>
        <v>0.5</v>
      </c>
      <c r="D22" s="28">
        <v>0</v>
      </c>
      <c r="E22" s="12">
        <f t="shared" si="0"/>
        <v>0</v>
      </c>
      <c r="F22" s="34">
        <f>'METAS 2019-2022'!I21</f>
        <v>1</v>
      </c>
      <c r="G22" s="31">
        <f>+'DICIEMBRE 2019'!D22</f>
        <v>0.5</v>
      </c>
      <c r="H22" s="31">
        <v>0.5</v>
      </c>
    </row>
    <row r="24" spans="1:8" x14ac:dyDescent="0.25">
      <c r="A24" s="1" t="s">
        <v>47</v>
      </c>
    </row>
    <row r="25" spans="1:8" x14ac:dyDescent="0.25">
      <c r="A25" s="1" t="s">
        <v>60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9 H11:H14 H15 H18 H7 E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FCDF-573B-4F07-84C2-7109FC34CC76}">
  <dimension ref="A1:I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9" ht="83.25" customHeight="1" x14ac:dyDescent="0.25">
      <c r="A1" s="61" t="s">
        <v>69</v>
      </c>
      <c r="B1" s="61"/>
      <c r="C1" s="61"/>
      <c r="D1" s="61"/>
      <c r="E1" s="61"/>
      <c r="F1" s="61"/>
      <c r="G1" s="61"/>
      <c r="H1" s="61"/>
    </row>
    <row r="2" spans="1:9" ht="21" customHeight="1" x14ac:dyDescent="0.25">
      <c r="A2" s="22"/>
      <c r="B2" s="22"/>
      <c r="C2" s="22"/>
      <c r="D2" s="22"/>
      <c r="E2" s="22"/>
      <c r="F2" s="22"/>
      <c r="G2" s="22"/>
      <c r="H2" s="22"/>
    </row>
    <row r="3" spans="1:9" ht="26.25" customHeight="1" x14ac:dyDescent="0.25">
      <c r="A3" s="59" t="s">
        <v>0</v>
      </c>
      <c r="B3" s="60" t="s">
        <v>3</v>
      </c>
      <c r="C3" s="57">
        <v>2020</v>
      </c>
      <c r="D3" s="57"/>
      <c r="E3" s="57"/>
      <c r="F3" s="58" t="s">
        <v>49</v>
      </c>
      <c r="G3" s="58"/>
      <c r="H3" s="58"/>
    </row>
    <row r="4" spans="1:9" ht="61.5" customHeight="1" x14ac:dyDescent="0.25">
      <c r="A4" s="59"/>
      <c r="B4" s="60"/>
      <c r="C4" s="41" t="s">
        <v>59</v>
      </c>
      <c r="D4" s="41" t="s">
        <v>70</v>
      </c>
      <c r="E4" s="41" t="s">
        <v>52</v>
      </c>
      <c r="F4" s="42" t="s">
        <v>50</v>
      </c>
      <c r="G4" s="42" t="s">
        <v>71</v>
      </c>
      <c r="H4" s="42" t="s">
        <v>52</v>
      </c>
    </row>
    <row r="5" spans="1:9" ht="55.5" customHeight="1" x14ac:dyDescent="0.25">
      <c r="A5" s="13" t="s">
        <v>5</v>
      </c>
      <c r="B5" s="35">
        <f>'METAS 2019-2022'!D4</f>
        <v>790000</v>
      </c>
      <c r="C5" s="14">
        <f>+'METAS 2019-2022'!F4-'METAS 2019-2022'!E4</f>
        <v>62000</v>
      </c>
      <c r="D5" s="14">
        <f>7471+8228+3900</f>
        <v>19599</v>
      </c>
      <c r="E5" s="12">
        <f>+D5/C5</f>
        <v>0.31611290322580643</v>
      </c>
      <c r="F5" s="35">
        <f>'METAS 2019-2022'!I4</f>
        <v>1185000</v>
      </c>
      <c r="G5" s="29">
        <f>B5+'DICIEMBRE 2019'!D5+D5</f>
        <v>884718</v>
      </c>
      <c r="H5" s="36">
        <f>(G5-B5)/(F5-B5)</f>
        <v>0.23979240506329114</v>
      </c>
      <c r="I5" s="27"/>
    </row>
    <row r="6" spans="1:9" ht="61.5" customHeight="1" x14ac:dyDescent="0.25">
      <c r="A6" s="13" t="s">
        <v>8</v>
      </c>
      <c r="B6" s="35">
        <f>'METAS 2019-2022'!D5</f>
        <v>559</v>
      </c>
      <c r="C6" s="15">
        <f>+'METAS 2019-2022'!F5</f>
        <v>500</v>
      </c>
      <c r="D6" s="15">
        <f>14+25+16</f>
        <v>55</v>
      </c>
      <c r="E6" s="12">
        <f t="shared" ref="E6:E22" si="0">+D6/C6</f>
        <v>0.11</v>
      </c>
      <c r="F6" s="35">
        <f>'METAS 2019-2022'!I5</f>
        <v>2000</v>
      </c>
      <c r="G6" s="30">
        <f>+'DICIEMBRE 2019'!G6+D6</f>
        <v>560</v>
      </c>
      <c r="H6" s="32">
        <f>G6/F6</f>
        <v>0.28000000000000003</v>
      </c>
    </row>
    <row r="7" spans="1:9" ht="45.75" customHeight="1" x14ac:dyDescent="0.25">
      <c r="A7" s="13" t="s">
        <v>11</v>
      </c>
      <c r="B7" s="34">
        <f>'METAS 2019-2022'!D6</f>
        <v>0.44</v>
      </c>
      <c r="C7" s="16">
        <f>+'METAS 2019-2022'!F6</f>
        <v>0.65</v>
      </c>
      <c r="D7" s="10">
        <v>1.06666666666667</v>
      </c>
      <c r="E7" s="12">
        <f>(D7-B7)/(C7-B7)</f>
        <v>2.9841269841269997</v>
      </c>
      <c r="F7" s="28">
        <f>'METAS 2019-2022'!I6</f>
        <v>1</v>
      </c>
      <c r="G7" s="16">
        <f>+D7</f>
        <v>1.06666666666667</v>
      </c>
      <c r="H7" s="10">
        <f>(G7-B7)/(F7-B7)</f>
        <v>1.1190476190476251</v>
      </c>
    </row>
    <row r="8" spans="1:9" ht="57" customHeight="1" x14ac:dyDescent="0.25">
      <c r="A8" s="13" t="s">
        <v>12</v>
      </c>
      <c r="B8" s="35">
        <f>'METAS 2019-2022'!D7</f>
        <v>0</v>
      </c>
      <c r="C8" s="15">
        <f>+'METAS 2019-2022'!F7</f>
        <v>5</v>
      </c>
      <c r="D8" s="15">
        <v>0</v>
      </c>
      <c r="E8" s="12">
        <f t="shared" si="0"/>
        <v>0</v>
      </c>
      <c r="F8" s="35">
        <f>'METAS 2019-2022'!I7</f>
        <v>10</v>
      </c>
      <c r="G8" s="30">
        <f>+'DICIEMBRE 2019'!D8+D8</f>
        <v>7</v>
      </c>
      <c r="H8" s="32">
        <f>G8/F8</f>
        <v>0.7</v>
      </c>
    </row>
    <row r="9" spans="1:9" ht="38.25" customHeight="1" x14ac:dyDescent="0.25">
      <c r="A9" s="13" t="s">
        <v>14</v>
      </c>
      <c r="B9" s="34">
        <f>'METAS 2019-2022'!D8</f>
        <v>0</v>
      </c>
      <c r="C9" s="16">
        <f>+'METAS 2019-2022'!F8</f>
        <v>0.25</v>
      </c>
      <c r="D9" s="10">
        <f>6/105</f>
        <v>5.7142857142857141E-2</v>
      </c>
      <c r="E9" s="12">
        <f>+D9/C9</f>
        <v>0.22857142857142856</v>
      </c>
      <c r="F9" s="34">
        <f>'METAS 2019-2022'!I8</f>
        <v>1</v>
      </c>
      <c r="G9" s="32">
        <f>+'DICIEMBRE 2019'!D9+'ENERO 2020'!D9</f>
        <v>0.69523809523809521</v>
      </c>
      <c r="H9" s="37">
        <f>+G9/F9</f>
        <v>0.69523809523809521</v>
      </c>
    </row>
    <row r="10" spans="1:9" ht="38.25" customHeight="1" x14ac:dyDescent="0.25">
      <c r="A10" s="13" t="s">
        <v>15</v>
      </c>
      <c r="B10" s="35">
        <f>'METAS 2019-2022'!D9</f>
        <v>0</v>
      </c>
      <c r="C10" s="14">
        <f>+'METAS 2019-2022'!F9-'METAS 2019-2022'!E9</f>
        <v>210</v>
      </c>
      <c r="D10" s="15">
        <f>1+6+0</f>
        <v>7</v>
      </c>
      <c r="E10" s="12">
        <f t="shared" si="0"/>
        <v>3.3333333333333333E-2</v>
      </c>
      <c r="F10" s="35">
        <f>'METAS 2019-2022'!I9</f>
        <v>840</v>
      </c>
      <c r="G10" s="30">
        <f>+'DICIEMBRE 2019'!D10+D10</f>
        <v>194</v>
      </c>
      <c r="H10" s="32">
        <f>G10/F10</f>
        <v>0.23095238095238096</v>
      </c>
    </row>
    <row r="11" spans="1:9" ht="33" customHeight="1" x14ac:dyDescent="0.25">
      <c r="A11" s="13" t="s">
        <v>17</v>
      </c>
      <c r="B11" s="35">
        <f>'METAS 2019-2022'!D10</f>
        <v>18</v>
      </c>
      <c r="C11" s="15">
        <f>+'METAS 2019-2022'!F10-'METAS 2019-2022'!E10</f>
        <v>1</v>
      </c>
      <c r="D11" s="14">
        <v>0</v>
      </c>
      <c r="E11" s="12">
        <f t="shared" si="0"/>
        <v>0</v>
      </c>
      <c r="F11" s="35">
        <f>'METAS 2019-2022'!I10</f>
        <v>25</v>
      </c>
      <c r="G11" s="29">
        <f>+B11+'DICIEMBRE 2019'!D11</f>
        <v>25</v>
      </c>
      <c r="H11" s="32">
        <f>(G11-B11)/(F11-B11)</f>
        <v>1</v>
      </c>
    </row>
    <row r="12" spans="1:9" ht="38.25" customHeight="1" x14ac:dyDescent="0.25">
      <c r="A12" s="13" t="s">
        <v>19</v>
      </c>
      <c r="B12" s="35">
        <f>'METAS 2019-2022'!D11</f>
        <v>0</v>
      </c>
      <c r="C12" s="15">
        <f>+'METAS 2019-2022'!F11</f>
        <v>22500</v>
      </c>
      <c r="D12" s="17">
        <f>4125+2924+2578</f>
        <v>9627</v>
      </c>
      <c r="E12" s="12">
        <f t="shared" si="0"/>
        <v>0.42786666666666667</v>
      </c>
      <c r="F12" s="35">
        <f>'METAS 2019-2022'!I11</f>
        <v>90000</v>
      </c>
      <c r="G12" s="33">
        <f>+'DICIEMBRE 2019'!D12+D12</f>
        <v>53818</v>
      </c>
      <c r="H12" s="32">
        <f>G12/F12</f>
        <v>0.59797777777777783</v>
      </c>
    </row>
    <row r="13" spans="1:9" ht="43.5" customHeight="1" x14ac:dyDescent="0.25">
      <c r="A13" s="13" t="s">
        <v>18</v>
      </c>
      <c r="B13" s="35">
        <f>'METAS 2019-2022'!D12</f>
        <v>1164</v>
      </c>
      <c r="C13" s="15">
        <f>+'METAS 2019-2022'!F12-'METAS 2019-2022'!E12</f>
        <v>310</v>
      </c>
      <c r="D13" s="14">
        <f>2+18+6</f>
        <v>26</v>
      </c>
      <c r="E13" s="12">
        <f t="shared" si="0"/>
        <v>8.387096774193549E-2</v>
      </c>
      <c r="F13" s="35">
        <f>'METAS 2019-2022'!I12</f>
        <v>2344</v>
      </c>
      <c r="G13" s="33">
        <f>B13+'DICIEMBRE 2019'!D13+D13</f>
        <v>1592</v>
      </c>
      <c r="H13" s="32">
        <f>(G13-B13)/(F13-B13)</f>
        <v>0.36271186440677966</v>
      </c>
    </row>
    <row r="14" spans="1:9" ht="74.25" customHeight="1" x14ac:dyDescent="0.25">
      <c r="A14" s="13" t="s">
        <v>20</v>
      </c>
      <c r="B14" s="35">
        <f>'METAS 2019-2022'!D13</f>
        <v>1</v>
      </c>
      <c r="C14" s="15">
        <f>+'METAS 2019-2022'!F13</f>
        <v>1</v>
      </c>
      <c r="D14" s="14">
        <v>1</v>
      </c>
      <c r="E14" s="12">
        <f t="shared" si="0"/>
        <v>1</v>
      </c>
      <c r="F14" s="35">
        <f>'METAS 2019-2022'!I13</f>
        <v>5</v>
      </c>
      <c r="G14" s="29">
        <f>+B14+D14</f>
        <v>2</v>
      </c>
      <c r="H14" s="32">
        <f>G14/F14</f>
        <v>0.4</v>
      </c>
    </row>
    <row r="15" spans="1:9" ht="56.25" customHeight="1" x14ac:dyDescent="0.25">
      <c r="A15" s="13" t="s">
        <v>21</v>
      </c>
      <c r="B15" s="35">
        <f>'METAS 2019-2022'!D14</f>
        <v>57</v>
      </c>
      <c r="C15" s="15">
        <f>+'METAS 2019-2022'!F14-'METAS 2019-2022'!E14</f>
        <v>8</v>
      </c>
      <c r="D15" s="14">
        <v>1</v>
      </c>
      <c r="E15" s="12">
        <f t="shared" si="0"/>
        <v>0.125</v>
      </c>
      <c r="F15" s="35">
        <f>'METAS 2019-2022'!I14</f>
        <v>97</v>
      </c>
      <c r="G15" s="29">
        <f>+B15+'DICIEMBRE 2019'!D15+D15</f>
        <v>86</v>
      </c>
      <c r="H15" s="32">
        <f>(G15-B15)/(F15-B15)</f>
        <v>0.72499999999999998</v>
      </c>
      <c r="I15" s="27"/>
    </row>
    <row r="16" spans="1:9" ht="66" customHeight="1" x14ac:dyDescent="0.25">
      <c r="A16" s="13" t="s">
        <v>22</v>
      </c>
      <c r="B16" s="34">
        <f>'METAS 2019-2022'!D15</f>
        <v>0</v>
      </c>
      <c r="C16" s="16">
        <f>+'METAS 2019-2022'!F15-'METAS 2019-2022'!E15</f>
        <v>0.30000000000000004</v>
      </c>
      <c r="D16" s="16">
        <f>3%+3%+3%</f>
        <v>0.09</v>
      </c>
      <c r="E16" s="12">
        <f t="shared" si="0"/>
        <v>0.29999999999999993</v>
      </c>
      <c r="F16" s="34">
        <f>'METAS 2019-2022'!I15</f>
        <v>1</v>
      </c>
      <c r="G16" s="31">
        <f>+'DICIEMBRE 2019'!D16+D16</f>
        <v>0.19</v>
      </c>
      <c r="H16" s="32">
        <f>G16/F16</f>
        <v>0.19</v>
      </c>
    </row>
    <row r="17" spans="1:9" ht="116.25" customHeight="1" x14ac:dyDescent="0.25">
      <c r="A17" s="13" t="s">
        <v>23</v>
      </c>
      <c r="B17" s="34">
        <f>'METAS 2019-2022'!D16</f>
        <v>0</v>
      </c>
      <c r="C17" s="16">
        <f>+'METAS 2019-2022'!F16-'METAS 2019-2022'!E16</f>
        <v>0.30000000000000004</v>
      </c>
      <c r="D17" s="16">
        <f>3%+3%+3%</f>
        <v>0.09</v>
      </c>
      <c r="E17" s="12">
        <f t="shared" si="0"/>
        <v>0.29999999999999993</v>
      </c>
      <c r="F17" s="34">
        <f>'METAS 2019-2022'!I16</f>
        <v>1</v>
      </c>
      <c r="G17" s="31">
        <f>+'DICIEMBRE 2019'!D17+D17</f>
        <v>0.19</v>
      </c>
      <c r="H17" s="32">
        <f>G17/F17</f>
        <v>0.19</v>
      </c>
    </row>
    <row r="18" spans="1:9" ht="69.75" customHeight="1" x14ac:dyDescent="0.25">
      <c r="A18" s="13" t="s">
        <v>24</v>
      </c>
      <c r="B18" s="35">
        <f>'METAS 2019-2022'!D17</f>
        <v>808</v>
      </c>
      <c r="C18" s="15">
        <f>+'METAS 2019-2022'!F17-'METAS 2019-2022'!E17</f>
        <v>40</v>
      </c>
      <c r="D18" s="14">
        <f>9+3+9</f>
        <v>21</v>
      </c>
      <c r="E18" s="12">
        <f t="shared" si="0"/>
        <v>0.52500000000000002</v>
      </c>
      <c r="F18" s="35">
        <f>'METAS 2019-2022'!I17</f>
        <v>1008</v>
      </c>
      <c r="G18" s="29">
        <f>+B18+'DICIEMBRE 2019'!D18+D18</f>
        <v>946</v>
      </c>
      <c r="H18" s="32">
        <f>(G18-B18)/(F18-B18)</f>
        <v>0.69</v>
      </c>
      <c r="I18" s="27"/>
    </row>
    <row r="19" spans="1:9" ht="39.75" customHeight="1" x14ac:dyDescent="0.25">
      <c r="A19" s="13" t="s">
        <v>62</v>
      </c>
      <c r="B19" s="35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5">
        <f>'METAS 2019-2022'!I18</f>
        <v>1</v>
      </c>
      <c r="G19" s="30">
        <v>0</v>
      </c>
      <c r="H19" s="32">
        <f>G19/F19</f>
        <v>0</v>
      </c>
    </row>
    <row r="20" spans="1:9" ht="72" customHeight="1" x14ac:dyDescent="0.25">
      <c r="A20" s="13" t="s">
        <v>61</v>
      </c>
      <c r="B20" s="30">
        <f>'METAS 2019-2022'!D19</f>
        <v>1</v>
      </c>
      <c r="C20" s="15">
        <f>+'METAS 2019-2022'!F19</f>
        <v>1</v>
      </c>
      <c r="D20" s="15">
        <v>0</v>
      </c>
      <c r="E20" s="12">
        <f t="shared" si="0"/>
        <v>0</v>
      </c>
      <c r="F20" s="35">
        <f>'METAS 2019-2022'!I19</f>
        <v>4</v>
      </c>
      <c r="G20" s="30">
        <f>+'DICIEMBRE 2019'!D20+D20</f>
        <v>1</v>
      </c>
      <c r="H20" s="31">
        <v>0.25</v>
      </c>
    </row>
    <row r="21" spans="1:9" ht="73.5" customHeight="1" x14ac:dyDescent="0.25">
      <c r="A21" s="13" t="s">
        <v>48</v>
      </c>
      <c r="B21" s="34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4">
        <f>'METAS 2019-2022'!I20</f>
        <v>1</v>
      </c>
      <c r="G21" s="34">
        <v>0</v>
      </c>
      <c r="H21" s="32">
        <f>G21/F21</f>
        <v>0</v>
      </c>
    </row>
    <row r="22" spans="1:9" ht="63" customHeight="1" x14ac:dyDescent="0.25">
      <c r="A22" s="13" t="s">
        <v>68</v>
      </c>
      <c r="B22" s="34">
        <f>'METAS 2019-2022'!D21</f>
        <v>0</v>
      </c>
      <c r="C22" s="16">
        <f>+'METAS 2019-2022'!F21</f>
        <v>0.5</v>
      </c>
      <c r="D22" s="28">
        <v>0</v>
      </c>
      <c r="E22" s="12">
        <f t="shared" si="0"/>
        <v>0</v>
      </c>
      <c r="F22" s="34">
        <f>'METAS 2019-2022'!I21</f>
        <v>1</v>
      </c>
      <c r="G22" s="31">
        <f>+'DICIEMBRE 2019'!D22</f>
        <v>0.5</v>
      </c>
      <c r="H22" s="31">
        <v>0.5</v>
      </c>
    </row>
    <row r="24" spans="1:9" x14ac:dyDescent="0.25">
      <c r="A24" s="1" t="s">
        <v>47</v>
      </c>
    </row>
    <row r="25" spans="1:9" x14ac:dyDescent="0.25">
      <c r="A25" s="1" t="s">
        <v>60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pageSetup orientation="portrait" r:id="rId1"/>
  <ignoredErrors>
    <ignoredError sqref="H9 H11 H13 H15 H18 E7 H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B394-49B1-4360-A0A2-DA5918A54F31}">
  <dimension ref="A1:I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9" ht="83.25" customHeight="1" x14ac:dyDescent="0.25">
      <c r="A1" s="61" t="s">
        <v>72</v>
      </c>
      <c r="B1" s="61"/>
      <c r="C1" s="61"/>
      <c r="D1" s="61"/>
      <c r="E1" s="61"/>
      <c r="F1" s="61"/>
      <c r="G1" s="61"/>
      <c r="H1" s="61"/>
    </row>
    <row r="2" spans="1:9" ht="21" customHeight="1" x14ac:dyDescent="0.25">
      <c r="A2" s="45"/>
      <c r="B2" s="45"/>
      <c r="C2" s="45"/>
      <c r="D2" s="45"/>
      <c r="E2" s="45"/>
      <c r="F2" s="45"/>
      <c r="G2" s="45"/>
      <c r="H2" s="45"/>
    </row>
    <row r="3" spans="1:9" ht="26.25" customHeight="1" x14ac:dyDescent="0.25">
      <c r="A3" s="59" t="s">
        <v>0</v>
      </c>
      <c r="B3" s="60" t="s">
        <v>3</v>
      </c>
      <c r="C3" s="57">
        <v>2020</v>
      </c>
      <c r="D3" s="57"/>
      <c r="E3" s="57"/>
      <c r="F3" s="58" t="s">
        <v>49</v>
      </c>
      <c r="G3" s="58"/>
      <c r="H3" s="58"/>
    </row>
    <row r="4" spans="1:9" ht="61.5" customHeight="1" x14ac:dyDescent="0.25">
      <c r="A4" s="59"/>
      <c r="B4" s="60"/>
      <c r="C4" s="46" t="s">
        <v>59</v>
      </c>
      <c r="D4" s="46" t="s">
        <v>73</v>
      </c>
      <c r="E4" s="46" t="s">
        <v>52</v>
      </c>
      <c r="F4" s="47" t="s">
        <v>50</v>
      </c>
      <c r="G4" s="47" t="s">
        <v>74</v>
      </c>
      <c r="H4" s="47" t="s">
        <v>52</v>
      </c>
    </row>
    <row r="5" spans="1:9" ht="55.5" customHeight="1" x14ac:dyDescent="0.25">
      <c r="A5" s="13" t="s">
        <v>5</v>
      </c>
      <c r="B5" s="35">
        <f>'METAS 2019-2022'!D4</f>
        <v>790000</v>
      </c>
      <c r="C5" s="14">
        <f>+'METAS 2019-2022'!F4-'METAS 2019-2022'!E4</f>
        <v>62000</v>
      </c>
      <c r="D5" s="14">
        <f>7471+8228+3900+4651</f>
        <v>24250</v>
      </c>
      <c r="E5" s="12">
        <f>+D5/C5</f>
        <v>0.3911290322580645</v>
      </c>
      <c r="F5" s="35">
        <f>'METAS 2019-2022'!I4</f>
        <v>1185000</v>
      </c>
      <c r="G5" s="29">
        <f>B5+'DICIEMBRE 2019'!D5+D5</f>
        <v>889369</v>
      </c>
      <c r="H5" s="36">
        <f>(G5-B5)/(F5-B5)</f>
        <v>0.25156708860759491</v>
      </c>
      <c r="I5" s="27"/>
    </row>
    <row r="6" spans="1:9" ht="61.5" customHeight="1" x14ac:dyDescent="0.25">
      <c r="A6" s="13" t="s">
        <v>8</v>
      </c>
      <c r="B6" s="35">
        <f>'METAS 2019-2022'!D5</f>
        <v>559</v>
      </c>
      <c r="C6" s="15">
        <f>+'METAS 2019-2022'!F5</f>
        <v>500</v>
      </c>
      <c r="D6" s="15">
        <f>14+25+16+1</f>
        <v>56</v>
      </c>
      <c r="E6" s="12">
        <f t="shared" ref="E6:E22" si="0">+D6/C6</f>
        <v>0.112</v>
      </c>
      <c r="F6" s="35">
        <f>'METAS 2019-2022'!I5</f>
        <v>2000</v>
      </c>
      <c r="G6" s="30">
        <f>+'DICIEMBRE 2019'!G6+D6</f>
        <v>561</v>
      </c>
      <c r="H6" s="32">
        <f>G6/F6</f>
        <v>0.28050000000000003</v>
      </c>
    </row>
    <row r="7" spans="1:9" ht="45.75" customHeight="1" x14ac:dyDescent="0.25">
      <c r="A7" s="13" t="s">
        <v>11</v>
      </c>
      <c r="B7" s="34">
        <f>'METAS 2019-2022'!D6</f>
        <v>0.44</v>
      </c>
      <c r="C7" s="16">
        <f>+'METAS 2019-2022'!F6</f>
        <v>0.65</v>
      </c>
      <c r="D7" s="10">
        <v>1.06666666666667</v>
      </c>
      <c r="E7" s="12">
        <f>(D7-B7)/(C7-B7)</f>
        <v>2.9841269841269997</v>
      </c>
      <c r="F7" s="34">
        <f>'METAS 2019-2022'!I6</f>
        <v>1</v>
      </c>
      <c r="G7" s="31">
        <f>+D7</f>
        <v>1.06666666666667</v>
      </c>
      <c r="H7" s="32">
        <f>(G7-B7)/(F7-B7)</f>
        <v>1.1190476190476251</v>
      </c>
    </row>
    <row r="8" spans="1:9" ht="57" customHeight="1" x14ac:dyDescent="0.25">
      <c r="A8" s="13" t="s">
        <v>12</v>
      </c>
      <c r="B8" s="35">
        <f>'METAS 2019-2022'!D7</f>
        <v>0</v>
      </c>
      <c r="C8" s="15">
        <f>+'METAS 2019-2022'!F7</f>
        <v>5</v>
      </c>
      <c r="D8" s="15">
        <v>1</v>
      </c>
      <c r="E8" s="12">
        <f t="shared" si="0"/>
        <v>0.2</v>
      </c>
      <c r="F8" s="35">
        <f>'METAS 2019-2022'!I7</f>
        <v>10</v>
      </c>
      <c r="G8" s="30">
        <f>+'DICIEMBRE 2019'!D8+D8</f>
        <v>8</v>
      </c>
      <c r="H8" s="32">
        <f>G8/F8</f>
        <v>0.8</v>
      </c>
    </row>
    <row r="9" spans="1:9" ht="38.25" customHeight="1" x14ac:dyDescent="0.25">
      <c r="A9" s="13" t="s">
        <v>14</v>
      </c>
      <c r="B9" s="34">
        <f>'METAS 2019-2022'!D8</f>
        <v>0</v>
      </c>
      <c r="C9" s="16">
        <f>+'METAS 2019-2022'!F8</f>
        <v>0.25</v>
      </c>
      <c r="D9" s="10">
        <f>6/105</f>
        <v>5.7142857142857141E-2</v>
      </c>
      <c r="E9" s="12">
        <f>+D9/C9</f>
        <v>0.22857142857142856</v>
      </c>
      <c r="F9" s="34">
        <f>'METAS 2019-2022'!I8</f>
        <v>1</v>
      </c>
      <c r="G9" s="32">
        <f>+'DICIEMBRE 2019'!D9+'ENERO 2020'!D9</f>
        <v>0.69523809523809521</v>
      </c>
      <c r="H9" s="37">
        <f>+G9/F9</f>
        <v>0.69523809523809521</v>
      </c>
    </row>
    <row r="10" spans="1:9" ht="38.25" customHeight="1" x14ac:dyDescent="0.25">
      <c r="A10" s="13" t="s">
        <v>15</v>
      </c>
      <c r="B10" s="35">
        <f>'METAS 2019-2022'!D9</f>
        <v>0</v>
      </c>
      <c r="C10" s="14">
        <f>+'METAS 2019-2022'!F9-'METAS 2019-2022'!E9</f>
        <v>210</v>
      </c>
      <c r="D10" s="15">
        <f>1+6+0+4</f>
        <v>11</v>
      </c>
      <c r="E10" s="12">
        <f t="shared" si="0"/>
        <v>5.2380952380952382E-2</v>
      </c>
      <c r="F10" s="35">
        <f>'METAS 2019-2022'!I9</f>
        <v>840</v>
      </c>
      <c r="G10" s="30">
        <f>+'DICIEMBRE 2019'!D10+D10</f>
        <v>198</v>
      </c>
      <c r="H10" s="32">
        <f>G10/F10</f>
        <v>0.23571428571428571</v>
      </c>
    </row>
    <row r="11" spans="1:9" ht="33" customHeight="1" x14ac:dyDescent="0.25">
      <c r="A11" s="13" t="s">
        <v>17</v>
      </c>
      <c r="B11" s="35">
        <f>'METAS 2019-2022'!D10</f>
        <v>18</v>
      </c>
      <c r="C11" s="15">
        <f>+'METAS 2019-2022'!F10-'METAS 2019-2022'!E10</f>
        <v>1</v>
      </c>
      <c r="D11" s="14">
        <v>0</v>
      </c>
      <c r="E11" s="12">
        <f t="shared" si="0"/>
        <v>0</v>
      </c>
      <c r="F11" s="35">
        <f>'METAS 2019-2022'!I10</f>
        <v>25</v>
      </c>
      <c r="G11" s="29">
        <f>+B11+'DICIEMBRE 2019'!D11</f>
        <v>25</v>
      </c>
      <c r="H11" s="32">
        <f>(G11-B11)/(F11-B11)</f>
        <v>1</v>
      </c>
    </row>
    <row r="12" spans="1:9" ht="38.25" customHeight="1" x14ac:dyDescent="0.25">
      <c r="A12" s="13" t="s">
        <v>19</v>
      </c>
      <c r="B12" s="35">
        <f>'METAS 2019-2022'!D11</f>
        <v>0</v>
      </c>
      <c r="C12" s="15">
        <f>+'METAS 2019-2022'!F11</f>
        <v>22500</v>
      </c>
      <c r="D12" s="17">
        <f>4125+2924+2578+1143</f>
        <v>10770</v>
      </c>
      <c r="E12" s="12">
        <f t="shared" si="0"/>
        <v>0.47866666666666668</v>
      </c>
      <c r="F12" s="35">
        <f>'METAS 2019-2022'!I11</f>
        <v>90000</v>
      </c>
      <c r="G12" s="33">
        <f>+'DICIEMBRE 2019'!D12+D12</f>
        <v>54961</v>
      </c>
      <c r="H12" s="32">
        <f>G12/F12</f>
        <v>0.61067777777777776</v>
      </c>
    </row>
    <row r="13" spans="1:9" ht="43.5" customHeight="1" x14ac:dyDescent="0.25">
      <c r="A13" s="13" t="s">
        <v>18</v>
      </c>
      <c r="B13" s="35">
        <f>'METAS 2019-2022'!D12</f>
        <v>1164</v>
      </c>
      <c r="C13" s="15">
        <f>+'METAS 2019-2022'!F12-'METAS 2019-2022'!E12</f>
        <v>310</v>
      </c>
      <c r="D13" s="14">
        <f>2+18+6+1</f>
        <v>27</v>
      </c>
      <c r="E13" s="12">
        <f t="shared" si="0"/>
        <v>8.7096774193548387E-2</v>
      </c>
      <c r="F13" s="35">
        <f>'METAS 2019-2022'!I12</f>
        <v>2344</v>
      </c>
      <c r="G13" s="33">
        <f>B13+'DICIEMBRE 2019'!D13+D13</f>
        <v>1593</v>
      </c>
      <c r="H13" s="32">
        <f>(G13-B13)/(F13-B13)</f>
        <v>0.36355932203389829</v>
      </c>
    </row>
    <row r="14" spans="1:9" ht="74.25" customHeight="1" x14ac:dyDescent="0.25">
      <c r="A14" s="13" t="s">
        <v>20</v>
      </c>
      <c r="B14" s="35">
        <f>'METAS 2019-2022'!D13</f>
        <v>1</v>
      </c>
      <c r="C14" s="15">
        <f>+'METAS 2019-2022'!F13</f>
        <v>1</v>
      </c>
      <c r="D14" s="14">
        <v>1</v>
      </c>
      <c r="E14" s="12">
        <f t="shared" si="0"/>
        <v>1</v>
      </c>
      <c r="F14" s="35">
        <f>'METAS 2019-2022'!I13</f>
        <v>5</v>
      </c>
      <c r="G14" s="29">
        <f>+B14+D14</f>
        <v>2</v>
      </c>
      <c r="H14" s="32">
        <f>G14/F14</f>
        <v>0.4</v>
      </c>
    </row>
    <row r="15" spans="1:9" ht="56.25" customHeight="1" x14ac:dyDescent="0.25">
      <c r="A15" s="13" t="s">
        <v>21</v>
      </c>
      <c r="B15" s="35">
        <f>'METAS 2019-2022'!D14</f>
        <v>57</v>
      </c>
      <c r="C15" s="15">
        <f>+'METAS 2019-2022'!F14-'METAS 2019-2022'!E14</f>
        <v>8</v>
      </c>
      <c r="D15" s="14">
        <f>1+1</f>
        <v>2</v>
      </c>
      <c r="E15" s="12">
        <f>+D15/C15</f>
        <v>0.25</v>
      </c>
      <c r="F15" s="35">
        <f>'METAS 2019-2022'!I14</f>
        <v>97</v>
      </c>
      <c r="G15" s="29">
        <f>+B15+'DICIEMBRE 2019'!D15+D15</f>
        <v>87</v>
      </c>
      <c r="H15" s="32">
        <f>(G15-B15)/(F15-B15)</f>
        <v>0.75</v>
      </c>
      <c r="I15" s="27"/>
    </row>
    <row r="16" spans="1:9" ht="66" customHeight="1" x14ac:dyDescent="0.25">
      <c r="A16" s="13" t="s">
        <v>22</v>
      </c>
      <c r="B16" s="34">
        <f>'METAS 2019-2022'!D15</f>
        <v>0</v>
      </c>
      <c r="C16" s="16">
        <f>+'METAS 2019-2022'!F15-'METAS 2019-2022'!E15</f>
        <v>0.30000000000000004</v>
      </c>
      <c r="D16" s="16">
        <f>3%+3%+3%+3%</f>
        <v>0.12</v>
      </c>
      <c r="E16" s="12">
        <f t="shared" si="0"/>
        <v>0.39999999999999991</v>
      </c>
      <c r="F16" s="34">
        <f>'METAS 2019-2022'!I15</f>
        <v>1</v>
      </c>
      <c r="G16" s="31">
        <f>+'DICIEMBRE 2019'!D16+D16</f>
        <v>0.22</v>
      </c>
      <c r="H16" s="32">
        <f>G16/F16</f>
        <v>0.22</v>
      </c>
    </row>
    <row r="17" spans="1:9" ht="116.25" customHeight="1" x14ac:dyDescent="0.25">
      <c r="A17" s="13" t="s">
        <v>23</v>
      </c>
      <c r="B17" s="34">
        <f>'METAS 2019-2022'!D16</f>
        <v>0</v>
      </c>
      <c r="C17" s="16">
        <f>+'METAS 2019-2022'!F16-'METAS 2019-2022'!E16</f>
        <v>0.30000000000000004</v>
      </c>
      <c r="D17" s="16">
        <f>3%+3%+3%+3%</f>
        <v>0.12</v>
      </c>
      <c r="E17" s="12">
        <f t="shared" si="0"/>
        <v>0.39999999999999991</v>
      </c>
      <c r="F17" s="34">
        <f>'METAS 2019-2022'!I16</f>
        <v>1</v>
      </c>
      <c r="G17" s="31">
        <f>+'DICIEMBRE 2019'!D17+D17</f>
        <v>0.22</v>
      </c>
      <c r="H17" s="32">
        <f>G17/F17</f>
        <v>0.22</v>
      </c>
    </row>
    <row r="18" spans="1:9" ht="69.75" customHeight="1" x14ac:dyDescent="0.25">
      <c r="A18" s="13" t="s">
        <v>24</v>
      </c>
      <c r="B18" s="35">
        <f>'METAS 2019-2022'!D17</f>
        <v>808</v>
      </c>
      <c r="C18" s="15">
        <f>+'METAS 2019-2022'!F17-'METAS 2019-2022'!E17</f>
        <v>40</v>
      </c>
      <c r="D18" s="14">
        <f>9+3+9+3</f>
        <v>24</v>
      </c>
      <c r="E18" s="12">
        <f t="shared" si="0"/>
        <v>0.6</v>
      </c>
      <c r="F18" s="35">
        <f>'METAS 2019-2022'!I17</f>
        <v>1008</v>
      </c>
      <c r="G18" s="29">
        <f>+B18+'DICIEMBRE 2019'!D18+D18</f>
        <v>949</v>
      </c>
      <c r="H18" s="32">
        <f>(G18-B18)/(F18-B18)</f>
        <v>0.70499999999999996</v>
      </c>
      <c r="I18" s="27"/>
    </row>
    <row r="19" spans="1:9" ht="39.75" customHeight="1" x14ac:dyDescent="0.25">
      <c r="A19" s="13" t="s">
        <v>62</v>
      </c>
      <c r="B19" s="35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5">
        <f>'METAS 2019-2022'!I18</f>
        <v>1</v>
      </c>
      <c r="G19" s="30">
        <v>0</v>
      </c>
      <c r="H19" s="32">
        <f>G19/F19</f>
        <v>0</v>
      </c>
    </row>
    <row r="20" spans="1:9" ht="72" customHeight="1" x14ac:dyDescent="0.25">
      <c r="A20" s="13" t="s">
        <v>61</v>
      </c>
      <c r="B20" s="30">
        <f>'METAS 2019-2022'!D19</f>
        <v>1</v>
      </c>
      <c r="C20" s="15">
        <f>+'METAS 2019-2022'!F19</f>
        <v>1</v>
      </c>
      <c r="D20" s="15">
        <v>0</v>
      </c>
      <c r="E20" s="12">
        <f t="shared" si="0"/>
        <v>0</v>
      </c>
      <c r="F20" s="35">
        <f>'METAS 2019-2022'!I19</f>
        <v>4</v>
      </c>
      <c r="G20" s="30">
        <f>+'DICIEMBRE 2019'!D20+D20</f>
        <v>1</v>
      </c>
      <c r="H20" s="31">
        <v>0.25</v>
      </c>
    </row>
    <row r="21" spans="1:9" ht="73.5" customHeight="1" x14ac:dyDescent="0.25">
      <c r="A21" s="13" t="s">
        <v>48</v>
      </c>
      <c r="B21" s="34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4">
        <f>'METAS 2019-2022'!I20</f>
        <v>1</v>
      </c>
      <c r="G21" s="34">
        <v>0</v>
      </c>
      <c r="H21" s="32">
        <f>G21/F21</f>
        <v>0</v>
      </c>
    </row>
    <row r="22" spans="1:9" ht="63" customHeight="1" x14ac:dyDescent="0.25">
      <c r="A22" s="13" t="s">
        <v>68</v>
      </c>
      <c r="B22" s="34">
        <f>'METAS 2019-2022'!D21</f>
        <v>0</v>
      </c>
      <c r="C22" s="16">
        <f>+'METAS 2019-2022'!F21</f>
        <v>0.5</v>
      </c>
      <c r="D22" s="28">
        <v>0</v>
      </c>
      <c r="E22" s="12">
        <f t="shared" si="0"/>
        <v>0</v>
      </c>
      <c r="F22" s="34">
        <f>'METAS 2019-2022'!I21</f>
        <v>1</v>
      </c>
      <c r="G22" s="31">
        <f>+'DICIEMBRE 2019'!D22</f>
        <v>0.5</v>
      </c>
      <c r="H22" s="31">
        <v>0.5</v>
      </c>
    </row>
    <row r="24" spans="1:9" x14ac:dyDescent="0.25">
      <c r="A24" s="1" t="s">
        <v>47</v>
      </c>
    </row>
    <row r="25" spans="1:9" x14ac:dyDescent="0.25">
      <c r="A25" s="1" t="s">
        <v>60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2:H13 H18 H9 E7 H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16A2-D3E5-4CAC-9DE3-969D8014ACE9}">
  <dimension ref="A1:J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9" ht="83.25" customHeight="1" x14ac:dyDescent="0.25">
      <c r="A1" s="61" t="s">
        <v>75</v>
      </c>
      <c r="B1" s="61"/>
      <c r="C1" s="61"/>
      <c r="D1" s="61"/>
      <c r="E1" s="61"/>
      <c r="F1" s="61"/>
      <c r="G1" s="61"/>
      <c r="H1" s="61"/>
    </row>
    <row r="2" spans="1:9" ht="21" customHeight="1" x14ac:dyDescent="0.25">
      <c r="A2" s="50"/>
      <c r="B2" s="50"/>
      <c r="C2" s="50"/>
      <c r="D2" s="50"/>
      <c r="E2" s="50"/>
      <c r="F2" s="50"/>
      <c r="G2" s="50"/>
      <c r="H2" s="50"/>
    </row>
    <row r="3" spans="1:9" ht="26.25" customHeight="1" x14ac:dyDescent="0.25">
      <c r="A3" s="59" t="s">
        <v>0</v>
      </c>
      <c r="B3" s="60" t="s">
        <v>3</v>
      </c>
      <c r="C3" s="57">
        <v>2020</v>
      </c>
      <c r="D3" s="57"/>
      <c r="E3" s="57"/>
      <c r="F3" s="58" t="s">
        <v>49</v>
      </c>
      <c r="G3" s="58"/>
      <c r="H3" s="58"/>
    </row>
    <row r="4" spans="1:9" ht="61.5" customHeight="1" x14ac:dyDescent="0.25">
      <c r="A4" s="59"/>
      <c r="B4" s="60"/>
      <c r="C4" s="51" t="s">
        <v>59</v>
      </c>
      <c r="D4" s="51" t="s">
        <v>76</v>
      </c>
      <c r="E4" s="51" t="s">
        <v>52</v>
      </c>
      <c r="F4" s="52" t="s">
        <v>50</v>
      </c>
      <c r="G4" s="52" t="s">
        <v>77</v>
      </c>
      <c r="H4" s="52" t="s">
        <v>52</v>
      </c>
    </row>
    <row r="5" spans="1:9" ht="55.5" customHeight="1" x14ac:dyDescent="0.25">
      <c r="A5" s="13" t="s">
        <v>5</v>
      </c>
      <c r="B5" s="35">
        <f>'METAS 2019-2022'!D4</f>
        <v>790000</v>
      </c>
      <c r="C5" s="14">
        <f>+'METAS 2019-2022'!F4-'METAS 2019-2022'!E4</f>
        <v>62000</v>
      </c>
      <c r="D5" s="14">
        <f>7471+8228+3900+4651+2950</f>
        <v>27200</v>
      </c>
      <c r="E5" s="12">
        <f>+D5/C5</f>
        <v>0.43870967741935485</v>
      </c>
      <c r="F5" s="35">
        <f>'METAS 2019-2022'!I4</f>
        <v>1185000</v>
      </c>
      <c r="G5" s="29">
        <f>B5+'DICIEMBRE 2019'!D5+D5</f>
        <v>892319</v>
      </c>
      <c r="H5" s="36">
        <f>(G5-B5)/(F5-B5)</f>
        <v>0.25903544303797471</v>
      </c>
      <c r="I5" s="27"/>
    </row>
    <row r="6" spans="1:9" ht="61.5" customHeight="1" x14ac:dyDescent="0.25">
      <c r="A6" s="13" t="s">
        <v>8</v>
      </c>
      <c r="B6" s="35">
        <f>'METAS 2019-2022'!D5</f>
        <v>559</v>
      </c>
      <c r="C6" s="15">
        <f>+'METAS 2019-2022'!F5</f>
        <v>500</v>
      </c>
      <c r="D6" s="15">
        <f>14+25+16+1</f>
        <v>56</v>
      </c>
      <c r="E6" s="12">
        <f t="shared" ref="E6:E22" si="0">+D6/C6</f>
        <v>0.112</v>
      </c>
      <c r="F6" s="35">
        <f>'METAS 2019-2022'!I5</f>
        <v>2000</v>
      </c>
      <c r="G6" s="30">
        <f>+'DICIEMBRE 2019'!G6+D6</f>
        <v>561</v>
      </c>
      <c r="H6" s="32">
        <f>G6/F6</f>
        <v>0.28050000000000003</v>
      </c>
    </row>
    <row r="7" spans="1:9" ht="45.75" customHeight="1" x14ac:dyDescent="0.25">
      <c r="A7" s="13" t="s">
        <v>11</v>
      </c>
      <c r="B7" s="34">
        <f>'METAS 2019-2022'!D6</f>
        <v>0.44</v>
      </c>
      <c r="C7" s="16">
        <f>+'METAS 2019-2022'!F6</f>
        <v>0.65</v>
      </c>
      <c r="D7" s="10">
        <v>1.06666666666667</v>
      </c>
      <c r="E7" s="12">
        <f>(D7-B7)/(C7-B7)</f>
        <v>2.9841269841269997</v>
      </c>
      <c r="F7" s="34">
        <f>'METAS 2019-2022'!I6</f>
        <v>1</v>
      </c>
      <c r="G7" s="31">
        <f>+D7</f>
        <v>1.06666666666667</v>
      </c>
      <c r="H7" s="32">
        <f>(G7-B7)/(F7-B7)</f>
        <v>1.1190476190476251</v>
      </c>
    </row>
    <row r="8" spans="1:9" ht="57" customHeight="1" x14ac:dyDescent="0.25">
      <c r="A8" s="13" t="s">
        <v>12</v>
      </c>
      <c r="B8" s="35">
        <f>'METAS 2019-2022'!D7</f>
        <v>0</v>
      </c>
      <c r="C8" s="15">
        <f>+'METAS 2019-2022'!F7</f>
        <v>5</v>
      </c>
      <c r="D8" s="15">
        <v>1</v>
      </c>
      <c r="E8" s="12">
        <f t="shared" si="0"/>
        <v>0.2</v>
      </c>
      <c r="F8" s="35">
        <f>'METAS 2019-2022'!I7</f>
        <v>10</v>
      </c>
      <c r="G8" s="30">
        <f>+'DICIEMBRE 2019'!D8+D8</f>
        <v>8</v>
      </c>
      <c r="H8" s="32">
        <f>G8/F8</f>
        <v>0.8</v>
      </c>
    </row>
    <row r="9" spans="1:9" ht="38.25" customHeight="1" x14ac:dyDescent="0.25">
      <c r="A9" s="13" t="s">
        <v>14</v>
      </c>
      <c r="B9" s="34">
        <f>'METAS 2019-2022'!D8</f>
        <v>0</v>
      </c>
      <c r="C9" s="16">
        <f>+'METAS 2019-2022'!F8</f>
        <v>0.25</v>
      </c>
      <c r="D9" s="10">
        <f>6/105</f>
        <v>5.7142857142857141E-2</v>
      </c>
      <c r="E9" s="12">
        <f>+D9/C9</f>
        <v>0.22857142857142856</v>
      </c>
      <c r="F9" s="34">
        <f>'METAS 2019-2022'!I8</f>
        <v>1</v>
      </c>
      <c r="G9" s="32">
        <f>+'DICIEMBRE 2019'!D9+'ENERO 2020'!D9</f>
        <v>0.69523809523809521</v>
      </c>
      <c r="H9" s="37">
        <f>+G9/F9</f>
        <v>0.69523809523809521</v>
      </c>
    </row>
    <row r="10" spans="1:9" ht="38.25" customHeight="1" x14ac:dyDescent="0.25">
      <c r="A10" s="13" t="s">
        <v>15</v>
      </c>
      <c r="B10" s="35">
        <f>'METAS 2019-2022'!D9</f>
        <v>0</v>
      </c>
      <c r="C10" s="14">
        <f>+'METAS 2019-2022'!F9-'METAS 2019-2022'!E9</f>
        <v>210</v>
      </c>
      <c r="D10" s="15">
        <f>1+6+0+4+1</f>
        <v>12</v>
      </c>
      <c r="E10" s="12">
        <f t="shared" si="0"/>
        <v>5.7142857142857141E-2</v>
      </c>
      <c r="F10" s="35">
        <f>'METAS 2019-2022'!I9</f>
        <v>840</v>
      </c>
      <c r="G10" s="30">
        <f>+'DICIEMBRE 2019'!D10+D10</f>
        <v>199</v>
      </c>
      <c r="H10" s="32">
        <f>G10/F10</f>
        <v>0.2369047619047619</v>
      </c>
    </row>
    <row r="11" spans="1:9" ht="33" customHeight="1" x14ac:dyDescent="0.25">
      <c r="A11" s="13" t="s">
        <v>17</v>
      </c>
      <c r="B11" s="35">
        <f>'METAS 2019-2022'!D10</f>
        <v>18</v>
      </c>
      <c r="C11" s="15">
        <f>+'METAS 2019-2022'!F10-'METAS 2019-2022'!E10</f>
        <v>1</v>
      </c>
      <c r="D11" s="14">
        <v>0</v>
      </c>
      <c r="E11" s="12">
        <f t="shared" si="0"/>
        <v>0</v>
      </c>
      <c r="F11" s="35">
        <f>'METAS 2019-2022'!I10</f>
        <v>25</v>
      </c>
      <c r="G11" s="29">
        <f>+B11+'DICIEMBRE 2019'!D11</f>
        <v>25</v>
      </c>
      <c r="H11" s="32">
        <f>(G11-B11)/(F11-B11)</f>
        <v>1</v>
      </c>
    </row>
    <row r="12" spans="1:9" ht="38.25" customHeight="1" x14ac:dyDescent="0.25">
      <c r="A12" s="13" t="s">
        <v>19</v>
      </c>
      <c r="B12" s="35">
        <f>'METAS 2019-2022'!D11</f>
        <v>0</v>
      </c>
      <c r="C12" s="15">
        <f>+'METAS 2019-2022'!F11</f>
        <v>22500</v>
      </c>
      <c r="D12" s="17">
        <f>4125+2924+2578+1143+937</f>
        <v>11707</v>
      </c>
      <c r="E12" s="12">
        <f t="shared" si="0"/>
        <v>0.52031111111111106</v>
      </c>
      <c r="F12" s="35">
        <f>'METAS 2019-2022'!I11</f>
        <v>90000</v>
      </c>
      <c r="G12" s="33">
        <f>+'DICIEMBRE 2019'!D12+D12</f>
        <v>55898</v>
      </c>
      <c r="H12" s="32">
        <f>G12/F12</f>
        <v>0.62108888888888891</v>
      </c>
    </row>
    <row r="13" spans="1:9" ht="43.5" customHeight="1" x14ac:dyDescent="0.25">
      <c r="A13" s="13" t="s">
        <v>18</v>
      </c>
      <c r="B13" s="35">
        <f>'METAS 2019-2022'!D12</f>
        <v>1164</v>
      </c>
      <c r="C13" s="15">
        <f>+'METAS 2019-2022'!F12-'METAS 2019-2022'!E12</f>
        <v>310</v>
      </c>
      <c r="D13" s="14">
        <f>2+18+6+1+1</f>
        <v>28</v>
      </c>
      <c r="E13" s="12">
        <f t="shared" si="0"/>
        <v>9.0322580645161285E-2</v>
      </c>
      <c r="F13" s="35">
        <f>'METAS 2019-2022'!I12</f>
        <v>2344</v>
      </c>
      <c r="G13" s="33">
        <f>B13+'DICIEMBRE 2019'!D13+D13</f>
        <v>1594</v>
      </c>
      <c r="H13" s="32">
        <f>(G13-B13)/(F13-B13)</f>
        <v>0.36440677966101692</v>
      </c>
    </row>
    <row r="14" spans="1:9" ht="74.25" customHeight="1" x14ac:dyDescent="0.25">
      <c r="A14" s="13" t="s">
        <v>20</v>
      </c>
      <c r="B14" s="35">
        <f>'METAS 2019-2022'!D13</f>
        <v>1</v>
      </c>
      <c r="C14" s="15">
        <f>+'METAS 2019-2022'!F13</f>
        <v>1</v>
      </c>
      <c r="D14" s="14">
        <v>1</v>
      </c>
      <c r="E14" s="12">
        <f t="shared" si="0"/>
        <v>1</v>
      </c>
      <c r="F14" s="35">
        <f>'METAS 2019-2022'!I13</f>
        <v>5</v>
      </c>
      <c r="G14" s="29">
        <f>+B14+D14</f>
        <v>2</v>
      </c>
      <c r="H14" s="32">
        <f>G14/F14</f>
        <v>0.4</v>
      </c>
    </row>
    <row r="15" spans="1:9" ht="56.25" customHeight="1" x14ac:dyDescent="0.25">
      <c r="A15" s="13" t="s">
        <v>21</v>
      </c>
      <c r="B15" s="35">
        <f>'METAS 2019-2022'!D14</f>
        <v>57</v>
      </c>
      <c r="C15" s="15">
        <f>+'METAS 2019-2022'!F14-'METAS 2019-2022'!E14</f>
        <v>8</v>
      </c>
      <c r="D15" s="14">
        <f>0+0+1+1+1</f>
        <v>3</v>
      </c>
      <c r="E15" s="12">
        <f>+D15/C15</f>
        <v>0.375</v>
      </c>
      <c r="F15" s="35">
        <f>'METAS 2019-2022'!I14</f>
        <v>97</v>
      </c>
      <c r="G15" s="29">
        <f>+B15+'DICIEMBRE 2019'!D15+D15</f>
        <v>88</v>
      </c>
      <c r="H15" s="32">
        <f>(G15-B15)/(F15-B15)</f>
        <v>0.77500000000000002</v>
      </c>
      <c r="I15" s="27"/>
    </row>
    <row r="16" spans="1:9" ht="66" customHeight="1" x14ac:dyDescent="0.25">
      <c r="A16" s="13" t="s">
        <v>22</v>
      </c>
      <c r="B16" s="34">
        <f>'METAS 2019-2022'!D15</f>
        <v>0</v>
      </c>
      <c r="C16" s="16">
        <f>+'METAS 2019-2022'!F15-'METAS 2019-2022'!E15</f>
        <v>0.30000000000000004</v>
      </c>
      <c r="D16" s="16">
        <f>3%+3%+3%+3%+3%</f>
        <v>0.15</v>
      </c>
      <c r="E16" s="12">
        <f t="shared" si="0"/>
        <v>0.49999999999999989</v>
      </c>
      <c r="F16" s="34">
        <f>'METAS 2019-2022'!I15</f>
        <v>1</v>
      </c>
      <c r="G16" s="31">
        <f>+'DICIEMBRE 2019'!D16+D16</f>
        <v>0.25</v>
      </c>
      <c r="H16" s="32">
        <f>G16/F16</f>
        <v>0.25</v>
      </c>
    </row>
    <row r="17" spans="1:10" ht="116.25" customHeight="1" x14ac:dyDescent="0.25">
      <c r="A17" s="13" t="s">
        <v>23</v>
      </c>
      <c r="B17" s="34">
        <f>'METAS 2019-2022'!D16</f>
        <v>0</v>
      </c>
      <c r="C17" s="16">
        <f>+'METAS 2019-2022'!F16-'METAS 2019-2022'!E16</f>
        <v>0.30000000000000004</v>
      </c>
      <c r="D17" s="16">
        <f>3%+3%+3%+3%+3%</f>
        <v>0.15</v>
      </c>
      <c r="E17" s="12">
        <f t="shared" si="0"/>
        <v>0.49999999999999989</v>
      </c>
      <c r="F17" s="34">
        <f>'METAS 2019-2022'!I16</f>
        <v>1</v>
      </c>
      <c r="G17" s="31">
        <f>+'DICIEMBRE 2019'!D17+D17</f>
        <v>0.25</v>
      </c>
      <c r="H17" s="32">
        <f>G17/F17</f>
        <v>0.25</v>
      </c>
    </row>
    <row r="18" spans="1:10" ht="69.75" customHeight="1" x14ac:dyDescent="0.25">
      <c r="A18" s="13" t="s">
        <v>24</v>
      </c>
      <c r="B18" s="35">
        <f>'METAS 2019-2022'!D17</f>
        <v>808</v>
      </c>
      <c r="C18" s="15">
        <f>+'METAS 2019-2022'!F17-'METAS 2019-2022'!E17</f>
        <v>40</v>
      </c>
      <c r="D18" s="14">
        <f>9+3+9+3+2</f>
        <v>26</v>
      </c>
      <c r="E18" s="12">
        <f t="shared" si="0"/>
        <v>0.65</v>
      </c>
      <c r="F18" s="35">
        <f>'METAS 2019-2022'!I17</f>
        <v>1008</v>
      </c>
      <c r="G18" s="29">
        <f>+B18+'DICIEMBRE 2019'!D18+D18</f>
        <v>951</v>
      </c>
      <c r="H18" s="32">
        <f>(G18-B18)/(F18-B18)</f>
        <v>0.71499999999999997</v>
      </c>
      <c r="I18" s="27"/>
      <c r="J18" s="27"/>
    </row>
    <row r="19" spans="1:10" ht="39.75" customHeight="1" x14ac:dyDescent="0.25">
      <c r="A19" s="13" t="s">
        <v>62</v>
      </c>
      <c r="B19" s="35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5">
        <f>'METAS 2019-2022'!I18</f>
        <v>1</v>
      </c>
      <c r="G19" s="30">
        <v>0</v>
      </c>
      <c r="H19" s="32">
        <f>G19/F19</f>
        <v>0</v>
      </c>
    </row>
    <row r="20" spans="1:10" ht="72" customHeight="1" x14ac:dyDescent="0.25">
      <c r="A20" s="13" t="s">
        <v>61</v>
      </c>
      <c r="B20" s="30">
        <f>'METAS 2019-2022'!D19</f>
        <v>1</v>
      </c>
      <c r="C20" s="15">
        <f>+'METAS 2019-2022'!F19</f>
        <v>1</v>
      </c>
      <c r="D20" s="15">
        <v>0</v>
      </c>
      <c r="E20" s="12">
        <f t="shared" si="0"/>
        <v>0</v>
      </c>
      <c r="F20" s="35">
        <f>'METAS 2019-2022'!I19</f>
        <v>4</v>
      </c>
      <c r="G20" s="30">
        <f>+'DICIEMBRE 2019'!D20+D20</f>
        <v>1</v>
      </c>
      <c r="H20" s="31">
        <v>0.25</v>
      </c>
    </row>
    <row r="21" spans="1:10" ht="73.5" customHeight="1" x14ac:dyDescent="0.25">
      <c r="A21" s="13" t="s">
        <v>48</v>
      </c>
      <c r="B21" s="34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4">
        <f>'METAS 2019-2022'!I20</f>
        <v>1</v>
      </c>
      <c r="G21" s="34">
        <v>0</v>
      </c>
      <c r="H21" s="32">
        <f>G21/F21</f>
        <v>0</v>
      </c>
    </row>
    <row r="22" spans="1:10" ht="63" customHeight="1" x14ac:dyDescent="0.25">
      <c r="A22" s="13" t="s">
        <v>68</v>
      </c>
      <c r="B22" s="34">
        <f>'METAS 2019-2022'!D21</f>
        <v>0</v>
      </c>
      <c r="C22" s="16">
        <f>+'METAS 2019-2022'!F21</f>
        <v>0.5</v>
      </c>
      <c r="D22" s="28">
        <v>0</v>
      </c>
      <c r="E22" s="12">
        <f t="shared" si="0"/>
        <v>0</v>
      </c>
      <c r="F22" s="34">
        <f>'METAS 2019-2022'!I21</f>
        <v>1</v>
      </c>
      <c r="G22" s="31">
        <f>+'DICIEMBRE 2019'!D22</f>
        <v>0.5</v>
      </c>
      <c r="H22" s="31">
        <v>0.5</v>
      </c>
    </row>
    <row r="24" spans="1:10" x14ac:dyDescent="0.25">
      <c r="A24" s="1" t="s">
        <v>47</v>
      </c>
    </row>
    <row r="25" spans="1:10" x14ac:dyDescent="0.25">
      <c r="A25" s="1" t="s">
        <v>60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E7 H6:H7 H9 H18 H15 H13 H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F5E5-0707-47F1-9702-B1803FF9D371}">
  <dimension ref="A1:K25"/>
  <sheetViews>
    <sheetView tabSelected="1" zoomScale="70" zoomScaleNormal="70" workbookViewId="0">
      <selection activeCell="A3" sqref="A3:A4"/>
    </sheetView>
  </sheetViews>
  <sheetFormatPr baseColWidth="10" defaultRowHeight="1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61" t="s">
        <v>78</v>
      </c>
      <c r="B1" s="61"/>
      <c r="C1" s="61"/>
      <c r="D1" s="61"/>
      <c r="E1" s="61"/>
      <c r="F1" s="61"/>
      <c r="G1" s="61"/>
      <c r="H1" s="61"/>
    </row>
    <row r="2" spans="1:11" ht="21" customHeight="1" x14ac:dyDescent="0.25">
      <c r="A2" s="53"/>
      <c r="B2" s="53"/>
      <c r="C2" s="53"/>
      <c r="D2" s="53"/>
      <c r="E2" s="53"/>
      <c r="F2" s="53"/>
      <c r="G2" s="53"/>
      <c r="H2" s="53"/>
    </row>
    <row r="3" spans="1:11" ht="26.25" customHeight="1" x14ac:dyDescent="0.25">
      <c r="A3" s="59" t="s">
        <v>0</v>
      </c>
      <c r="B3" s="60" t="s">
        <v>3</v>
      </c>
      <c r="C3" s="57">
        <v>2020</v>
      </c>
      <c r="D3" s="57"/>
      <c r="E3" s="57"/>
      <c r="F3" s="58" t="s">
        <v>49</v>
      </c>
      <c r="G3" s="58"/>
      <c r="H3" s="58"/>
    </row>
    <row r="4" spans="1:11" ht="61.5" customHeight="1" x14ac:dyDescent="0.25">
      <c r="A4" s="59"/>
      <c r="B4" s="60"/>
      <c r="C4" s="54" t="s">
        <v>59</v>
      </c>
      <c r="D4" s="54" t="s">
        <v>79</v>
      </c>
      <c r="E4" s="54" t="s">
        <v>52</v>
      </c>
      <c r="F4" s="55" t="s">
        <v>50</v>
      </c>
      <c r="G4" s="55" t="s">
        <v>80</v>
      </c>
      <c r="H4" s="55" t="s">
        <v>52</v>
      </c>
    </row>
    <row r="5" spans="1:11" ht="55.5" customHeight="1" x14ac:dyDescent="0.25">
      <c r="A5" s="13" t="s">
        <v>5</v>
      </c>
      <c r="B5" s="35">
        <f>'METAS 2019-2022'!D4</f>
        <v>790000</v>
      </c>
      <c r="C5" s="14">
        <f>+'METAS 2019-2022'!F4-'METAS 2019-2022'!E4</f>
        <v>62000</v>
      </c>
      <c r="D5" s="14">
        <f>7471+8228+3900+4651+2950+2271</f>
        <v>29471</v>
      </c>
      <c r="E5" s="12">
        <f>+D5/C5</f>
        <v>0.47533870967741937</v>
      </c>
      <c r="F5" s="35">
        <f>'METAS 2019-2022'!I4</f>
        <v>1185000</v>
      </c>
      <c r="G5" s="29">
        <f>B5+'DICIEMBRE 2019'!D5+D5</f>
        <v>894590</v>
      </c>
      <c r="H5" s="36">
        <f>(G5-B5)/(F5-B5)</f>
        <v>0.26478481012658228</v>
      </c>
      <c r="I5" s="27"/>
    </row>
    <row r="6" spans="1:11" ht="61.5" customHeight="1" x14ac:dyDescent="0.25">
      <c r="A6" s="13" t="s">
        <v>8</v>
      </c>
      <c r="B6" s="35">
        <f>'METAS 2019-2022'!D5</f>
        <v>559</v>
      </c>
      <c r="C6" s="15">
        <f>+'METAS 2019-2022'!F5</f>
        <v>500</v>
      </c>
      <c r="D6" s="15">
        <f>14+25+16+1+0+1</f>
        <v>57</v>
      </c>
      <c r="E6" s="12">
        <f t="shared" ref="E6:E22" si="0">+D6/C6</f>
        <v>0.114</v>
      </c>
      <c r="F6" s="35">
        <f>'METAS 2019-2022'!I5</f>
        <v>2000</v>
      </c>
      <c r="G6" s="30">
        <f>+'DICIEMBRE 2019'!G6+D6</f>
        <v>562</v>
      </c>
      <c r="H6" s="32">
        <f>G6/F6</f>
        <v>0.28100000000000003</v>
      </c>
    </row>
    <row r="7" spans="1:11" ht="45.75" customHeight="1" x14ac:dyDescent="0.25">
      <c r="A7" s="13" t="s">
        <v>11</v>
      </c>
      <c r="B7" s="34">
        <f>'METAS 2019-2022'!D6</f>
        <v>0.44</v>
      </c>
      <c r="C7" s="16">
        <f>+'METAS 2019-2022'!F6</f>
        <v>0.65</v>
      </c>
      <c r="D7" s="10">
        <v>1.06666666666667</v>
      </c>
      <c r="E7" s="12">
        <f>(D7-B7)/(C7-B7)</f>
        <v>2.9841269841269997</v>
      </c>
      <c r="F7" s="34">
        <f>'METAS 2019-2022'!I6</f>
        <v>1</v>
      </c>
      <c r="G7" s="31">
        <f>+D7</f>
        <v>1.06666666666667</v>
      </c>
      <c r="H7" s="32">
        <f>(G7-B7)/(F7-B7)</f>
        <v>1.1190476190476251</v>
      </c>
    </row>
    <row r="8" spans="1:11" ht="57" customHeight="1" x14ac:dyDescent="0.25">
      <c r="A8" s="13" t="s">
        <v>12</v>
      </c>
      <c r="B8" s="35">
        <f>'METAS 2019-2022'!D7</f>
        <v>0</v>
      </c>
      <c r="C8" s="15">
        <f>+'METAS 2019-2022'!F7</f>
        <v>5</v>
      </c>
      <c r="D8" s="15">
        <v>1</v>
      </c>
      <c r="E8" s="12">
        <f t="shared" si="0"/>
        <v>0.2</v>
      </c>
      <c r="F8" s="35">
        <f>'METAS 2019-2022'!I7</f>
        <v>10</v>
      </c>
      <c r="G8" s="30">
        <f>+'DICIEMBRE 2019'!D8+D8</f>
        <v>8</v>
      </c>
      <c r="H8" s="32">
        <f>G8/F8</f>
        <v>0.8</v>
      </c>
    </row>
    <row r="9" spans="1:11" ht="38.25" customHeight="1" x14ac:dyDescent="0.25">
      <c r="A9" s="13" t="s">
        <v>14</v>
      </c>
      <c r="B9" s="34">
        <f>'METAS 2019-2022'!D8</f>
        <v>0</v>
      </c>
      <c r="C9" s="16">
        <f>+'METAS 2019-2022'!F8</f>
        <v>0.25</v>
      </c>
      <c r="D9" s="10">
        <f>6/105</f>
        <v>5.7142857142857141E-2</v>
      </c>
      <c r="E9" s="12">
        <f>+D9/C9</f>
        <v>0.22857142857142856</v>
      </c>
      <c r="F9" s="34">
        <f>'METAS 2019-2022'!I8</f>
        <v>1</v>
      </c>
      <c r="G9" s="32">
        <f>+'DICIEMBRE 2019'!D9+'ENERO 2020'!D9</f>
        <v>0.69523809523809521</v>
      </c>
      <c r="H9" s="37">
        <f>+G9/F9</f>
        <v>0.69523809523809521</v>
      </c>
    </row>
    <row r="10" spans="1:11" ht="38.25" customHeight="1" x14ac:dyDescent="0.25">
      <c r="A10" s="13" t="s">
        <v>15</v>
      </c>
      <c r="B10" s="35">
        <f>'METAS 2019-2022'!D9</f>
        <v>0</v>
      </c>
      <c r="C10" s="14">
        <f>+'METAS 2019-2022'!F9-'METAS 2019-2022'!E9</f>
        <v>210</v>
      </c>
      <c r="D10" s="15">
        <f>1+6+0+4+1</f>
        <v>12</v>
      </c>
      <c r="E10" s="12">
        <f t="shared" si="0"/>
        <v>5.7142857142857141E-2</v>
      </c>
      <c r="F10" s="35">
        <f>'METAS 2019-2022'!I9</f>
        <v>840</v>
      </c>
      <c r="G10" s="30">
        <f>+'DICIEMBRE 2019'!D10+D10</f>
        <v>199</v>
      </c>
      <c r="H10" s="32">
        <f>G10/F10</f>
        <v>0.2369047619047619</v>
      </c>
    </row>
    <row r="11" spans="1:11" ht="33" customHeight="1" x14ac:dyDescent="0.25">
      <c r="A11" s="13" t="s">
        <v>17</v>
      </c>
      <c r="B11" s="35">
        <f>'METAS 2019-2022'!D10</f>
        <v>18</v>
      </c>
      <c r="C11" s="15">
        <f>+'METAS 2019-2022'!F10-'METAS 2019-2022'!E10</f>
        <v>1</v>
      </c>
      <c r="D11" s="14">
        <v>0</v>
      </c>
      <c r="E11" s="12">
        <f t="shared" si="0"/>
        <v>0</v>
      </c>
      <c r="F11" s="35">
        <f>'METAS 2019-2022'!I10</f>
        <v>25</v>
      </c>
      <c r="G11" s="29">
        <f>+B11+'DICIEMBRE 2019'!D11</f>
        <v>25</v>
      </c>
      <c r="H11" s="32">
        <f>(G11-B11)/(F11-B11)</f>
        <v>1</v>
      </c>
    </row>
    <row r="12" spans="1:11" ht="38.25" customHeight="1" x14ac:dyDescent="0.25">
      <c r="A12" s="13" t="s">
        <v>19</v>
      </c>
      <c r="B12" s="35">
        <f>'METAS 2019-2022'!D11</f>
        <v>0</v>
      </c>
      <c r="C12" s="15">
        <f>+'METAS 2019-2022'!F11</f>
        <v>22500</v>
      </c>
      <c r="D12" s="17">
        <f>4125+2924+2578+1143+937+1223</f>
        <v>12930</v>
      </c>
      <c r="E12" s="12">
        <f t="shared" si="0"/>
        <v>0.57466666666666666</v>
      </c>
      <c r="F12" s="35">
        <f>'METAS 2019-2022'!I11</f>
        <v>90000</v>
      </c>
      <c r="G12" s="33">
        <f>+'DICIEMBRE 2019'!D12+D12</f>
        <v>57121</v>
      </c>
      <c r="H12" s="32">
        <f>G12/F12</f>
        <v>0.63467777777777779</v>
      </c>
    </row>
    <row r="13" spans="1:11" ht="43.5" customHeight="1" x14ac:dyDescent="0.25">
      <c r="A13" s="13" t="s">
        <v>18</v>
      </c>
      <c r="B13" s="35">
        <f>'METAS 2019-2022'!D12</f>
        <v>1164</v>
      </c>
      <c r="C13" s="15">
        <f>+'METAS 2019-2022'!F12-'METAS 2019-2022'!E12</f>
        <v>310</v>
      </c>
      <c r="D13" s="14">
        <f>2+18+6+1+1+32</f>
        <v>60</v>
      </c>
      <c r="E13" s="12">
        <f t="shared" si="0"/>
        <v>0.19354838709677419</v>
      </c>
      <c r="F13" s="35">
        <f>'METAS 2019-2022'!I12</f>
        <v>2344</v>
      </c>
      <c r="G13" s="33">
        <f>B13+'DICIEMBRE 2019'!D13+D13</f>
        <v>1626</v>
      </c>
      <c r="H13" s="32">
        <f>(G13-B13)/(F13-B13)</f>
        <v>0.39152542372881355</v>
      </c>
      <c r="K13" s="27"/>
    </row>
    <row r="14" spans="1:11" ht="74.25" customHeight="1" x14ac:dyDescent="0.25">
      <c r="A14" s="13" t="s">
        <v>20</v>
      </c>
      <c r="B14" s="35">
        <f>'METAS 2019-2022'!D13</f>
        <v>1</v>
      </c>
      <c r="C14" s="15">
        <f>+'METAS 2019-2022'!F13</f>
        <v>1</v>
      </c>
      <c r="D14" s="14">
        <v>1</v>
      </c>
      <c r="E14" s="12">
        <f t="shared" si="0"/>
        <v>1</v>
      </c>
      <c r="F14" s="35">
        <f>'METAS 2019-2022'!I13</f>
        <v>5</v>
      </c>
      <c r="G14" s="29">
        <f>+B14+D14</f>
        <v>2</v>
      </c>
      <c r="H14" s="32">
        <f>G14/F14</f>
        <v>0.4</v>
      </c>
    </row>
    <row r="15" spans="1:11" ht="56.25" customHeight="1" x14ac:dyDescent="0.25">
      <c r="A15" s="13" t="s">
        <v>21</v>
      </c>
      <c r="B15" s="35">
        <f>'METAS 2019-2022'!D14</f>
        <v>57</v>
      </c>
      <c r="C15" s="15">
        <f>+'METAS 2019-2022'!F14-'METAS 2019-2022'!E14</f>
        <v>8</v>
      </c>
      <c r="D15" s="14">
        <f>0+0+1+1+1+0</f>
        <v>3</v>
      </c>
      <c r="E15" s="12">
        <f>+D15/C15</f>
        <v>0.375</v>
      </c>
      <c r="F15" s="35">
        <f>'METAS 2019-2022'!I14</f>
        <v>97</v>
      </c>
      <c r="G15" s="29">
        <f>+B15+'DICIEMBRE 2019'!D15+D15</f>
        <v>88</v>
      </c>
      <c r="H15" s="32">
        <f>(G15-B15)/(F15-B15)</f>
        <v>0.77500000000000002</v>
      </c>
      <c r="I15" s="27"/>
    </row>
    <row r="16" spans="1:11" ht="66" customHeight="1" x14ac:dyDescent="0.25">
      <c r="A16" s="13" t="s">
        <v>22</v>
      </c>
      <c r="B16" s="34">
        <f>'METAS 2019-2022'!D15</f>
        <v>0</v>
      </c>
      <c r="C16" s="16">
        <f>+'METAS 2019-2022'!F15-'METAS 2019-2022'!E15</f>
        <v>0.30000000000000004</v>
      </c>
      <c r="D16" s="16">
        <f>3%+3%+3%+3%+3%+3%</f>
        <v>0.18</v>
      </c>
      <c r="E16" s="12">
        <f t="shared" si="0"/>
        <v>0.59999999999999987</v>
      </c>
      <c r="F16" s="34">
        <f>'METAS 2019-2022'!I15</f>
        <v>1</v>
      </c>
      <c r="G16" s="31">
        <f>+'DICIEMBRE 2019'!D16+D16</f>
        <v>0.28000000000000003</v>
      </c>
      <c r="H16" s="32">
        <f>G16/F16</f>
        <v>0.28000000000000003</v>
      </c>
    </row>
    <row r="17" spans="1:10" ht="116.25" customHeight="1" x14ac:dyDescent="0.25">
      <c r="A17" s="13" t="s">
        <v>23</v>
      </c>
      <c r="B17" s="34">
        <f>'METAS 2019-2022'!D16</f>
        <v>0</v>
      </c>
      <c r="C17" s="16">
        <f>+'METAS 2019-2022'!F16-'METAS 2019-2022'!E16</f>
        <v>0.30000000000000004</v>
      </c>
      <c r="D17" s="16">
        <f>3%+3%+3%+3%+3%+3%</f>
        <v>0.18</v>
      </c>
      <c r="E17" s="12">
        <f t="shared" si="0"/>
        <v>0.59999999999999987</v>
      </c>
      <c r="F17" s="34">
        <f>'METAS 2019-2022'!I16</f>
        <v>1</v>
      </c>
      <c r="G17" s="31">
        <f>+'DICIEMBRE 2019'!D17+D17</f>
        <v>0.28000000000000003</v>
      </c>
      <c r="H17" s="32">
        <f>G17/F17</f>
        <v>0.28000000000000003</v>
      </c>
    </row>
    <row r="18" spans="1:10" ht="69.75" customHeight="1" x14ac:dyDescent="0.25">
      <c r="A18" s="13" t="s">
        <v>24</v>
      </c>
      <c r="B18" s="35">
        <f>'METAS 2019-2022'!D17</f>
        <v>808</v>
      </c>
      <c r="C18" s="15">
        <f>+'METAS 2019-2022'!F17-'METAS 2019-2022'!E17</f>
        <v>40</v>
      </c>
      <c r="D18" s="14">
        <f>9+3+9+3+2+6</f>
        <v>32</v>
      </c>
      <c r="E18" s="12">
        <f t="shared" si="0"/>
        <v>0.8</v>
      </c>
      <c r="F18" s="35">
        <f>'METAS 2019-2022'!I17</f>
        <v>1008</v>
      </c>
      <c r="G18" s="29">
        <f>+B18+'DICIEMBRE 2019'!D18+D18</f>
        <v>957</v>
      </c>
      <c r="H18" s="32">
        <f>(G18-B18)/(F18-B18)</f>
        <v>0.745</v>
      </c>
      <c r="I18" s="27"/>
      <c r="J18" s="27"/>
    </row>
    <row r="19" spans="1:10" ht="39.75" customHeight="1" x14ac:dyDescent="0.25">
      <c r="A19" s="13" t="s">
        <v>62</v>
      </c>
      <c r="B19" s="35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5">
        <f>'METAS 2019-2022'!I18</f>
        <v>1</v>
      </c>
      <c r="G19" s="30">
        <v>0</v>
      </c>
      <c r="H19" s="32">
        <f>G19/F19</f>
        <v>0</v>
      </c>
    </row>
    <row r="20" spans="1:10" ht="72" customHeight="1" x14ac:dyDescent="0.25">
      <c r="A20" s="13" t="s">
        <v>61</v>
      </c>
      <c r="B20" s="30">
        <f>'METAS 2019-2022'!D19</f>
        <v>1</v>
      </c>
      <c r="C20" s="15">
        <f>+'METAS 2019-2022'!F19</f>
        <v>1</v>
      </c>
      <c r="D20" s="15">
        <v>0</v>
      </c>
      <c r="E20" s="12">
        <f t="shared" si="0"/>
        <v>0</v>
      </c>
      <c r="F20" s="35">
        <f>'METAS 2019-2022'!I19</f>
        <v>4</v>
      </c>
      <c r="G20" s="30">
        <f>+'DICIEMBRE 2019'!D20+D20</f>
        <v>1</v>
      </c>
      <c r="H20" s="31">
        <v>0.25</v>
      </c>
    </row>
    <row r="21" spans="1:10" ht="73.5" customHeight="1" x14ac:dyDescent="0.25">
      <c r="A21" s="13" t="s">
        <v>48</v>
      </c>
      <c r="B21" s="34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4">
        <f>'METAS 2019-2022'!I20</f>
        <v>1</v>
      </c>
      <c r="G21" s="34">
        <v>0</v>
      </c>
      <c r="H21" s="32">
        <f>G21/F21</f>
        <v>0</v>
      </c>
    </row>
    <row r="22" spans="1:10" ht="63" customHeight="1" x14ac:dyDescent="0.25">
      <c r="A22" s="13" t="s">
        <v>68</v>
      </c>
      <c r="B22" s="34">
        <f>'METAS 2019-2022'!D21</f>
        <v>0</v>
      </c>
      <c r="C22" s="16">
        <f>+'METAS 2019-2022'!F21</f>
        <v>0.5</v>
      </c>
      <c r="D22" s="28">
        <v>0</v>
      </c>
      <c r="E22" s="12">
        <f t="shared" si="0"/>
        <v>0</v>
      </c>
      <c r="F22" s="34">
        <f>'METAS 2019-2022'!I21</f>
        <v>1</v>
      </c>
      <c r="G22" s="31">
        <f>+'DICIEMBRE 2019'!D22</f>
        <v>0.5</v>
      </c>
      <c r="H22" s="31">
        <v>0.5</v>
      </c>
    </row>
    <row r="24" spans="1:10" ht="14.25" x14ac:dyDescent="0.25">
      <c r="A24" s="1" t="s">
        <v>47</v>
      </c>
    </row>
    <row r="25" spans="1:10" ht="14.25" x14ac:dyDescent="0.25">
      <c r="A25" s="1" t="s">
        <v>60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4:H15 H18 H12:H13 H11 E7 H6:H7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METAS 2019-2022</vt:lpstr>
      <vt:lpstr>DICIEMBRE 2019</vt:lpstr>
      <vt:lpstr>ENERO 2020</vt:lpstr>
      <vt:lpstr>FEBRERO 2020</vt:lpstr>
      <vt:lpstr>MARZO 2020</vt:lpstr>
      <vt:lpstr>ABRIL 2020</vt:lpstr>
      <vt:lpstr>MAYO 2020</vt:lpstr>
      <vt:lpstr>JUNIO 2020</vt:lpstr>
      <vt:lpstr>'METAS 2019-2022'!Títulos_a_imprimir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Nayibe Barrera Sopo</dc:creator>
  <cp:lastModifiedBy>LUZ ADRIANA NAVA VILLAMIL</cp:lastModifiedBy>
  <dcterms:created xsi:type="dcterms:W3CDTF">2019-09-30T15:24:31Z</dcterms:created>
  <dcterms:modified xsi:type="dcterms:W3CDTF">2020-07-09T20:38:43Z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